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Anamika handover\Handover\"/>
    </mc:Choice>
  </mc:AlternateContent>
  <workbookProtection workbookAlgorithmName="SHA-512" workbookHashValue="vw5HUPAu5KUr1t7PUErdJHqaG+9goZSr6o+Ir0ABPdyolU7W05K7HM9zIjpkAndZ7MavI44HwLa/7VrXVBJmpg==" workbookSaltValue="OMtj5ExfeyvHgY4B0M+2WA==" workbookSpinCount="100000" lockStructure="1"/>
  <bookViews>
    <workbookView xWindow="0" yWindow="0" windowWidth="10110" windowHeight="7320" tabRatio="781" activeTab="6"/>
  </bookViews>
  <sheets>
    <sheet name="General Information" sheetId="1" r:id="rId1"/>
    <sheet name="Form-1" sheetId="2" r:id="rId2"/>
    <sheet name="Sd_Form 1" sheetId="3" r:id="rId3"/>
    <sheet name="Tech annexure" sheetId="4" r:id="rId4"/>
    <sheet name="BL Daig" sheetId="5" r:id="rId5"/>
    <sheet name="NF summary" sheetId="6" r:id="rId6"/>
    <sheet name="Prod_energy_best monthly" sheetId="7" r:id="rId7"/>
    <sheet name="NF_Low cap " sheetId="8" r:id="rId8"/>
    <sheet name="NF_cold start" sheetId="9" r:id="rId9"/>
    <sheet name="NF_Naphtha" sheetId="10" r:id="rId10"/>
    <sheet name="NF_catalyst red" sheetId="11" r:id="rId11"/>
    <sheet name="NF_coal" sheetId="12" r:id="rId12"/>
    <sheet name="Sheet1"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Toc399007369">'NF_Low cap '!$L$2</definedName>
    <definedName name="_Toc399007370">'NF_Low cap '!#REF!</definedName>
    <definedName name="_Toc399007371">'NF_Low cap '!#REF!</definedName>
    <definedName name="_Toc399007372">'NF_Low cap '!#REF!</definedName>
    <definedName name="_Toc399007373">'NF_Low cap '!$M$2</definedName>
    <definedName name="_Toc399007376">'NF_cold start'!#REF!</definedName>
    <definedName name="_Toc399007378" localSheetId="11">NF_coal!$K$2</definedName>
    <definedName name="_Toc399007378" localSheetId="9">NF_Naphtha!$K$2</definedName>
    <definedName name="_Toc399007379" localSheetId="11">NF_coal!#REF!</definedName>
    <definedName name="_Toc399007379" localSheetId="9">NF_Naphtha!#REF!</definedName>
    <definedName name="_Toc399007380" localSheetId="11">NF_coal!#REF!</definedName>
    <definedName name="_Toc399007380" localSheetId="9">NF_Naphtha!#REF!</definedName>
    <definedName name="_Toc399007381" localSheetId="11">NF_coal!#REF!</definedName>
    <definedName name="_Toc399007381" localSheetId="9">NF_Naphtha!#REF!</definedName>
    <definedName name="_Toc399007382" localSheetId="11">NF_coal!#REF!</definedName>
    <definedName name="_Toc399007382" localSheetId="9">NF_Naphtha!#REF!</definedName>
    <definedName name="_Toc399007383">'NF_catalyst red'!$J$9</definedName>
    <definedName name="_Toc399007384">'NF_catalyst red'!#REF!</definedName>
    <definedName name="_Toc399007385">'NF_catalyst red'!$L$2</definedName>
    <definedName name="_Toc399007386">NF_coal!#REF!</definedName>
    <definedName name="_Toc399007387">NF_coal!#REF!</definedName>
    <definedName name="_Toc399007388">NF_coal!#REF!</definedName>
    <definedName name="_xlnm.Print_Area" localSheetId="4">'BL Daig'!$B$2:$AC$40</definedName>
    <definedName name="_xlnm.Print_Area" localSheetId="1">'Form-1'!$A$1:$K$98</definedName>
    <definedName name="_xlnm.Print_Area" localSheetId="8">'NF_cold start'!$A$5:$W$30</definedName>
    <definedName name="_xlnm.Print_Area" localSheetId="2">'Sd_Form 1'!$B$1:$I$307</definedName>
    <definedName name="_xlnm.Print_Area" localSheetId="3">'Tech annexure'!$B$1:$J$89</definedName>
    <definedName name="Z_5D90FF31_AD5C_4A69_A320_8978B095DFD4_.wvu.Rows" hidden="1">'Form-1'!$72:$72</definedName>
  </definedNames>
  <calcPr calcId="162913"/>
  <customWorkbookViews>
    <customWorkbookView name="Admin - Personal View" guid="{5D90FF31-AD5C-4A69-A320-8978B095DFD4}" mergeInterval="0" personalView="1" maximized="1" xWindow="-8" yWindow="-8" windowWidth="1382" windowHeight="744" tabRatio="781" activeSheetId="3"/>
  </customWorkbookViews>
</workbook>
</file>

<file path=xl/calcChain.xml><?xml version="1.0" encoding="utf-8"?>
<calcChain xmlns="http://schemas.openxmlformats.org/spreadsheetml/2006/main">
  <c r="AA126" i="7" l="1"/>
  <c r="AE132" i="7" l="1"/>
  <c r="AE134" i="7"/>
  <c r="AA134" i="7"/>
  <c r="K20" i="6" l="1"/>
  <c r="R100" i="7" l="1"/>
  <c r="R101" i="7"/>
  <c r="R106" i="7"/>
  <c r="R110" i="7"/>
  <c r="R111" i="7"/>
  <c r="W100" i="7"/>
  <c r="W101" i="7"/>
  <c r="W102" i="7"/>
  <c r="W103" i="7"/>
  <c r="W105" i="7"/>
  <c r="W106" i="7"/>
  <c r="W108" i="7"/>
  <c r="W109" i="7"/>
  <c r="W110" i="7"/>
  <c r="W111" i="7"/>
  <c r="W99" i="7"/>
  <c r="AE60" i="7"/>
  <c r="AE61" i="7"/>
  <c r="AE62" i="7"/>
  <c r="AE63" i="7"/>
  <c r="AE64" i="7"/>
  <c r="AE53" i="7"/>
  <c r="AJ54" i="7"/>
  <c r="AJ58" i="7"/>
  <c r="AJ61" i="7"/>
  <c r="AJ62" i="7"/>
  <c r="AJ63" i="7"/>
  <c r="AJ64" i="7"/>
  <c r="AE100" i="7"/>
  <c r="AE101" i="7"/>
  <c r="AE102" i="7"/>
  <c r="AE103" i="7"/>
  <c r="AE104" i="7"/>
  <c r="AE105" i="7"/>
  <c r="AE109" i="7"/>
  <c r="AE110" i="7"/>
  <c r="AE111" i="7"/>
  <c r="AE99" i="7"/>
  <c r="AJ100" i="7"/>
  <c r="AJ101" i="7"/>
  <c r="AJ102" i="7"/>
  <c r="AJ103" i="7"/>
  <c r="AJ105" i="7"/>
  <c r="AJ106" i="7"/>
  <c r="AJ107" i="7"/>
  <c r="AJ108" i="7"/>
  <c r="AJ110" i="7"/>
  <c r="AJ111" i="7"/>
  <c r="AJ99" i="7"/>
  <c r="AE144" i="7"/>
  <c r="AE145" i="7"/>
  <c r="AE146" i="7"/>
  <c r="AE149" i="7"/>
  <c r="AE150" i="7"/>
  <c r="AE151" i="7"/>
  <c r="AE152" i="7"/>
  <c r="AE153" i="7"/>
  <c r="AE154" i="7"/>
  <c r="AE143" i="7"/>
  <c r="AJ143" i="7"/>
  <c r="AJ145" i="7"/>
  <c r="AJ146" i="7"/>
  <c r="AJ148" i="7"/>
  <c r="AJ149" i="7"/>
  <c r="AJ150" i="7"/>
  <c r="AJ151" i="7"/>
  <c r="AJ152" i="7"/>
  <c r="AJ153" i="7"/>
  <c r="AJ154" i="7"/>
  <c r="AA45" i="7" l="1"/>
  <c r="AA34" i="7"/>
  <c r="O26" i="10" l="1"/>
  <c r="P26" i="10"/>
  <c r="Q26" i="10"/>
  <c r="R26" i="10"/>
  <c r="N26" i="10"/>
  <c r="F74" i="4" l="1"/>
  <c r="F20" i="7"/>
  <c r="G20" i="7"/>
  <c r="H20" i="7"/>
  <c r="Q24" i="9" s="1"/>
  <c r="I20" i="7"/>
  <c r="AH34" i="7" l="1"/>
  <c r="G32" i="3" l="1"/>
  <c r="H32" i="3"/>
  <c r="I32" i="3"/>
  <c r="J75" i="4" l="1"/>
  <c r="G75" i="4"/>
  <c r="H75" i="4"/>
  <c r="I75" i="4"/>
  <c r="F75" i="4"/>
  <c r="G74" i="4"/>
  <c r="H74" i="4"/>
  <c r="I74" i="4"/>
  <c r="J74" i="4"/>
  <c r="E20" i="2"/>
  <c r="F20" i="2"/>
  <c r="G20" i="2"/>
  <c r="H20" i="2"/>
  <c r="D20" i="2"/>
  <c r="H24" i="4" l="1"/>
  <c r="V107" i="7"/>
  <c r="O85" i="7"/>
  <c r="O34" i="7"/>
  <c r="N53" i="7" s="1"/>
  <c r="I17" i="3"/>
  <c r="F261" i="3"/>
  <c r="E36" i="2" s="1"/>
  <c r="G261" i="3"/>
  <c r="F36" i="2" s="1"/>
  <c r="H261" i="3"/>
  <c r="G36" i="2" s="1"/>
  <c r="I261" i="3"/>
  <c r="H36" i="2" s="1"/>
  <c r="E261" i="3"/>
  <c r="D36" i="2" s="1"/>
  <c r="E33" i="2"/>
  <c r="F33" i="2"/>
  <c r="G33" i="2"/>
  <c r="H33" i="2"/>
  <c r="D33" i="2"/>
  <c r="E25" i="2" l="1"/>
  <c r="F25" i="2"/>
  <c r="G25" i="2"/>
  <c r="H25" i="2"/>
  <c r="D25" i="2"/>
  <c r="N103" i="7" l="1"/>
  <c r="Q28" i="9" l="1"/>
  <c r="P28" i="9"/>
  <c r="F21" i="7" l="1"/>
  <c r="G21" i="7"/>
  <c r="H21" i="7"/>
  <c r="I21" i="7"/>
  <c r="E21" i="7"/>
  <c r="E20" i="7"/>
  <c r="F19" i="7"/>
  <c r="G19" i="7"/>
  <c r="H19" i="7"/>
  <c r="I19" i="7"/>
  <c r="F18" i="7"/>
  <c r="G18" i="7"/>
  <c r="H18" i="7"/>
  <c r="I18" i="7"/>
  <c r="F17" i="7"/>
  <c r="G17" i="7"/>
  <c r="H17" i="7"/>
  <c r="I17" i="7"/>
  <c r="E18" i="7"/>
  <c r="E19" i="7"/>
  <c r="E17" i="7"/>
  <c r="F12" i="7"/>
  <c r="G12" i="7"/>
  <c r="H12" i="7"/>
  <c r="I12" i="7"/>
  <c r="E12" i="7"/>
  <c r="F11" i="7"/>
  <c r="G11" i="7"/>
  <c r="H11" i="7"/>
  <c r="I11" i="7"/>
  <c r="E11" i="7"/>
  <c r="F10" i="7"/>
  <c r="G10" i="7"/>
  <c r="H10" i="7"/>
  <c r="I10" i="7"/>
  <c r="F9" i="7"/>
  <c r="G9" i="7"/>
  <c r="H9" i="7"/>
  <c r="I9" i="7"/>
  <c r="F8" i="7"/>
  <c r="G8" i="7"/>
  <c r="H8" i="7"/>
  <c r="I8" i="7"/>
  <c r="E9" i="7"/>
  <c r="E10" i="7"/>
  <c r="E8" i="7"/>
  <c r="E31" i="2" l="1"/>
  <c r="F31" i="2"/>
  <c r="G31" i="2"/>
  <c r="H31" i="2"/>
  <c r="D31" i="2"/>
  <c r="E29" i="2"/>
  <c r="F29" i="2"/>
  <c r="G29" i="2"/>
  <c r="H29" i="2"/>
  <c r="D29" i="2"/>
  <c r="E24" i="2"/>
  <c r="F24" i="2"/>
  <c r="G24" i="2"/>
  <c r="H24" i="2"/>
  <c r="E23" i="2"/>
  <c r="F23" i="2"/>
  <c r="G23" i="2"/>
  <c r="H23" i="2"/>
  <c r="E22" i="2"/>
  <c r="F22" i="2"/>
  <c r="G22" i="2"/>
  <c r="H22" i="2"/>
  <c r="D23" i="2"/>
  <c r="D24" i="2"/>
  <c r="D22" i="2"/>
  <c r="E19" i="2"/>
  <c r="F19" i="2"/>
  <c r="G19" i="2"/>
  <c r="H19" i="2"/>
  <c r="E18" i="2"/>
  <c r="F18" i="2"/>
  <c r="G18" i="2"/>
  <c r="H18" i="2"/>
  <c r="E17" i="2"/>
  <c r="F17" i="2"/>
  <c r="G17" i="2"/>
  <c r="H17" i="2"/>
  <c r="D18" i="2"/>
  <c r="D19" i="2"/>
  <c r="D17" i="2"/>
  <c r="B23" i="2"/>
  <c r="B24" i="2"/>
  <c r="B22" i="2"/>
  <c r="B18" i="2"/>
  <c r="B17" i="2"/>
  <c r="G64" i="4"/>
  <c r="H64" i="4"/>
  <c r="I64" i="4"/>
  <c r="J64" i="4"/>
  <c r="J70" i="4" s="1"/>
  <c r="G60" i="4"/>
  <c r="H60" i="4"/>
  <c r="I60" i="4"/>
  <c r="J60" i="4"/>
  <c r="J71" i="4" s="1"/>
  <c r="J72" i="4" s="1"/>
  <c r="J80" i="4" s="1"/>
  <c r="F60" i="4"/>
  <c r="G51" i="4"/>
  <c r="G9" i="6" s="1"/>
  <c r="H51" i="4"/>
  <c r="H9" i="6" s="1"/>
  <c r="I51" i="4"/>
  <c r="I9" i="6" s="1"/>
  <c r="J51" i="4"/>
  <c r="J9" i="6" s="1"/>
  <c r="F51" i="4"/>
  <c r="G71" i="4" l="1"/>
  <c r="G72" i="4" s="1"/>
  <c r="G70" i="4"/>
  <c r="I71" i="4"/>
  <c r="I72" i="4" s="1"/>
  <c r="I70" i="4"/>
  <c r="H71" i="4"/>
  <c r="H72" i="4" s="1"/>
  <c r="H70" i="4"/>
  <c r="F9" i="6"/>
  <c r="F71" i="4"/>
  <c r="F72" i="4" s="1"/>
  <c r="F80" i="4" s="1"/>
  <c r="F64" i="4"/>
  <c r="F70" i="4" l="1"/>
  <c r="I33" i="4"/>
  <c r="I28" i="4"/>
  <c r="I39" i="4" s="1"/>
  <c r="G24" i="4"/>
  <c r="I24" i="4"/>
  <c r="J24" i="4"/>
  <c r="G23" i="4"/>
  <c r="H23" i="4"/>
  <c r="I23" i="4"/>
  <c r="J23" i="4"/>
  <c r="J22" i="4"/>
  <c r="G22" i="4"/>
  <c r="H22" i="4"/>
  <c r="I22" i="4"/>
  <c r="F23" i="4"/>
  <c r="F24" i="4"/>
  <c r="F22" i="4"/>
  <c r="I11" i="4"/>
  <c r="G11" i="4"/>
  <c r="H11" i="4"/>
  <c r="J11" i="4"/>
  <c r="F11" i="4"/>
  <c r="F296" i="3"/>
  <c r="G296" i="3"/>
  <c r="H296" i="3"/>
  <c r="I296" i="3"/>
  <c r="E296" i="3"/>
  <c r="F262" i="3"/>
  <c r="G262" i="3"/>
  <c r="H262" i="3"/>
  <c r="I262" i="3"/>
  <c r="F239" i="3"/>
  <c r="G239" i="3"/>
  <c r="H239" i="3"/>
  <c r="I239" i="3"/>
  <c r="E239" i="3"/>
  <c r="F238" i="3"/>
  <c r="E35" i="2" s="1"/>
  <c r="G238" i="3"/>
  <c r="F35" i="2" s="1"/>
  <c r="H238" i="3"/>
  <c r="G35" i="2" s="1"/>
  <c r="I238" i="3"/>
  <c r="H35" i="2" s="1"/>
  <c r="E238" i="3"/>
  <c r="D35" i="2" s="1"/>
  <c r="F192" i="3"/>
  <c r="E38" i="2" s="1"/>
  <c r="E41" i="2" s="1"/>
  <c r="G192" i="3"/>
  <c r="F38" i="2" s="1"/>
  <c r="F41" i="2" s="1"/>
  <c r="F42" i="2" s="1"/>
  <c r="H192" i="3"/>
  <c r="G38" i="2" s="1"/>
  <c r="G41" i="2" s="1"/>
  <c r="I192" i="3"/>
  <c r="H38" i="2" s="1"/>
  <c r="H41" i="2" s="1"/>
  <c r="H42" i="2" s="1"/>
  <c r="E192" i="3"/>
  <c r="F191" i="3"/>
  <c r="E34" i="2" s="1"/>
  <c r="E37" i="2" s="1"/>
  <c r="E39" i="2" s="1"/>
  <c r="E40" i="2" s="1"/>
  <c r="G191" i="3"/>
  <c r="F34" i="2" s="1"/>
  <c r="F37" i="2" s="1"/>
  <c r="F39" i="2" s="1"/>
  <c r="F40" i="2" s="1"/>
  <c r="H191" i="3"/>
  <c r="G34" i="2" s="1"/>
  <c r="G37" i="2" s="1"/>
  <c r="G39" i="2" s="1"/>
  <c r="G40" i="2" s="1"/>
  <c r="I191" i="3"/>
  <c r="H34" i="2" s="1"/>
  <c r="H37" i="2" s="1"/>
  <c r="H39" i="2" s="1"/>
  <c r="H40" i="2" s="1"/>
  <c r="E191" i="3"/>
  <c r="D34" i="2" s="1"/>
  <c r="D37" i="2" s="1"/>
  <c r="D39" i="2" s="1"/>
  <c r="D40" i="2" s="1"/>
  <c r="H38" i="4" l="1"/>
  <c r="H40" i="4"/>
  <c r="G38" i="4"/>
  <c r="G40" i="4"/>
  <c r="F37" i="4"/>
  <c r="F38" i="4"/>
  <c r="F36" i="4"/>
  <c r="F45" i="4" s="1"/>
  <c r="F73" i="4" s="1"/>
  <c r="F40" i="4"/>
  <c r="I40" i="4"/>
  <c r="I38" i="4"/>
  <c r="J40" i="4"/>
  <c r="J38" i="4"/>
  <c r="I36" i="4"/>
  <c r="I45" i="4" s="1"/>
  <c r="I73" i="4" s="1"/>
  <c r="I37" i="4"/>
  <c r="F165" i="3"/>
  <c r="G165" i="3"/>
  <c r="H165" i="3"/>
  <c r="I165" i="3"/>
  <c r="E165" i="3"/>
  <c r="F158" i="3"/>
  <c r="G158" i="3"/>
  <c r="H158" i="3"/>
  <c r="I158" i="3"/>
  <c r="E158" i="3"/>
  <c r="F152" i="3"/>
  <c r="G152" i="3"/>
  <c r="H152" i="3"/>
  <c r="I152" i="3"/>
  <c r="E152" i="3"/>
  <c r="F145" i="3"/>
  <c r="G145" i="3"/>
  <c r="H145" i="3"/>
  <c r="I145" i="3"/>
  <c r="E145" i="3"/>
  <c r="E159" i="3" s="1"/>
  <c r="H14" i="7" l="1"/>
  <c r="F159" i="3"/>
  <c r="H159" i="3"/>
  <c r="G159" i="3"/>
  <c r="I159" i="3"/>
  <c r="J10" i="6" l="1"/>
  <c r="K21" i="6" s="1"/>
  <c r="K22" i="6" s="1"/>
  <c r="K24" i="6" s="1"/>
  <c r="H45" i="2"/>
  <c r="I23" i="7"/>
  <c r="G130" i="3"/>
  <c r="F30" i="2" s="1"/>
  <c r="F32" i="2" s="1"/>
  <c r="H130" i="3"/>
  <c r="G30" i="2" s="1"/>
  <c r="G32" i="2" s="1"/>
  <c r="I130" i="3"/>
  <c r="H30" i="2" s="1"/>
  <c r="G129" i="3"/>
  <c r="H129" i="3"/>
  <c r="I129" i="3"/>
  <c r="G128" i="3"/>
  <c r="H128" i="3"/>
  <c r="I128" i="3"/>
  <c r="G107" i="3"/>
  <c r="H107" i="3"/>
  <c r="I107" i="3"/>
  <c r="G106" i="3"/>
  <c r="H106" i="3"/>
  <c r="I106" i="3"/>
  <c r="G78" i="3"/>
  <c r="H78" i="3"/>
  <c r="I78" i="3"/>
  <c r="J83" i="4" l="1"/>
  <c r="J84" i="4" s="1"/>
  <c r="K25" i="6"/>
  <c r="G61" i="3"/>
  <c r="H61" i="3"/>
  <c r="I61" i="3"/>
  <c r="G52" i="3"/>
  <c r="H52" i="3"/>
  <c r="I52" i="3"/>
  <c r="G47" i="3"/>
  <c r="H47" i="3"/>
  <c r="I47" i="3"/>
  <c r="G42" i="3"/>
  <c r="H42" i="3"/>
  <c r="I42" i="3"/>
  <c r="G37" i="3"/>
  <c r="H37" i="3"/>
  <c r="I37" i="3"/>
  <c r="G17" i="3"/>
  <c r="G13" i="7" s="1"/>
  <c r="H25" i="3"/>
  <c r="H22" i="7" s="1"/>
  <c r="H17" i="3"/>
  <c r="H13" i="7" s="1"/>
  <c r="AI147" i="7" l="1"/>
  <c r="AI144" i="7"/>
  <c r="AI104" i="7" l="1"/>
  <c r="AA133" i="7"/>
  <c r="AA43" i="7"/>
  <c r="N43" i="7"/>
  <c r="N89" i="7"/>
  <c r="AA90" i="7"/>
  <c r="AA87" i="7"/>
  <c r="AA85" i="7"/>
  <c r="AA82" i="7"/>
  <c r="AA80" i="7"/>
  <c r="AI60" i="7"/>
  <c r="V104" i="7"/>
  <c r="M99" i="7"/>
  <c r="AF45" i="7" l="1"/>
  <c r="AF44" i="7"/>
  <c r="AF43" i="7"/>
  <c r="AF42" i="7"/>
  <c r="AF41" i="7"/>
  <c r="AF40" i="7"/>
  <c r="AF39" i="7"/>
  <c r="AF38" i="7"/>
  <c r="AF37" i="7"/>
  <c r="AF36" i="7"/>
  <c r="AF35" i="7"/>
  <c r="AF34" i="7"/>
  <c r="AA44" i="7"/>
  <c r="AA42" i="7"/>
  <c r="AA40" i="7"/>
  <c r="AA38" i="7"/>
  <c r="AA37" i="7"/>
  <c r="AA35" i="7"/>
  <c r="U11" i="8" l="1"/>
  <c r="M29" i="5" l="1"/>
  <c r="M23" i="5"/>
  <c r="Y21" i="5"/>
  <c r="D29" i="5" l="1"/>
  <c r="G28" i="5"/>
  <c r="D28" i="5"/>
  <c r="M118" i="13"/>
  <c r="M112" i="13"/>
  <c r="Y110" i="13"/>
  <c r="M74" i="13"/>
  <c r="M68" i="13"/>
  <c r="Y66" i="13"/>
  <c r="M29" i="13"/>
  <c r="M23" i="13"/>
  <c r="Y21" i="13"/>
  <c r="R35" i="12" l="1"/>
  <c r="Q35" i="12"/>
  <c r="P35" i="12"/>
  <c r="O35" i="12"/>
  <c r="N35" i="12"/>
  <c r="R32" i="12"/>
  <c r="Q32" i="12"/>
  <c r="P32" i="12"/>
  <c r="O32" i="12"/>
  <c r="N32" i="12"/>
  <c r="Q25" i="10"/>
  <c r="R16" i="9"/>
  <c r="Q16" i="9"/>
  <c r="Q29" i="9" s="1"/>
  <c r="I14" i="6" s="1"/>
  <c r="P16" i="9"/>
  <c r="P29" i="9" s="1"/>
  <c r="H14" i="6" s="1"/>
  <c r="O16" i="9"/>
  <c r="N16" i="9"/>
  <c r="AH135" i="7"/>
  <c r="AG135" i="7"/>
  <c r="AF135" i="7"/>
  <c r="AE135" i="7"/>
  <c r="AC135" i="7"/>
  <c r="AB135" i="7"/>
  <c r="AA135" i="7"/>
  <c r="AH134" i="7"/>
  <c r="AG134" i="7"/>
  <c r="AF134" i="7"/>
  <c r="AC134" i="7"/>
  <c r="AB134" i="7"/>
  <c r="AH133" i="7"/>
  <c r="AG133" i="7"/>
  <c r="AF133" i="7"/>
  <c r="AE133" i="7"/>
  <c r="AC133" i="7"/>
  <c r="AB133" i="7"/>
  <c r="AH132" i="7"/>
  <c r="AG132" i="7"/>
  <c r="AF132" i="7"/>
  <c r="AC132" i="7"/>
  <c r="AB132" i="7"/>
  <c r="AA132" i="7"/>
  <c r="AH131" i="7"/>
  <c r="AG131" i="7"/>
  <c r="AF131" i="7"/>
  <c r="AE131" i="7"/>
  <c r="AC131" i="7"/>
  <c r="AB131" i="7"/>
  <c r="AA131" i="7"/>
  <c r="AH130" i="7"/>
  <c r="AG130" i="7"/>
  <c r="AF130" i="7"/>
  <c r="AE130" i="7"/>
  <c r="AD148" i="7" s="1"/>
  <c r="AC130" i="7"/>
  <c r="AB148" i="7" s="1"/>
  <c r="AE148" i="7" s="1"/>
  <c r="AB130" i="7"/>
  <c r="AA148" i="7" s="1"/>
  <c r="AA130" i="7"/>
  <c r="AH129" i="7"/>
  <c r="AG147" i="7" s="1"/>
  <c r="AJ147" i="7" s="1"/>
  <c r="AG129" i="7"/>
  <c r="AF147" i="7" s="1"/>
  <c r="AF129" i="7"/>
  <c r="AE129" i="7"/>
  <c r="AD147" i="7" s="1"/>
  <c r="AC129" i="7"/>
  <c r="AB147" i="7" s="1"/>
  <c r="AB129" i="7"/>
  <c r="AA147" i="7" s="1"/>
  <c r="AA129" i="7"/>
  <c r="AH128" i="7"/>
  <c r="AG128" i="7"/>
  <c r="AF128" i="7"/>
  <c r="AE128" i="7"/>
  <c r="AC128" i="7"/>
  <c r="AB128" i="7"/>
  <c r="AA128" i="7"/>
  <c r="AH127" i="7"/>
  <c r="AG127" i="7"/>
  <c r="AF127" i="7"/>
  <c r="AE127" i="7"/>
  <c r="AC127" i="7"/>
  <c r="AB127" i="7"/>
  <c r="AA127" i="7"/>
  <c r="AH126" i="7"/>
  <c r="AG144" i="7" s="1"/>
  <c r="AJ144" i="7" s="1"/>
  <c r="AG126" i="7"/>
  <c r="AF144" i="7" s="1"/>
  <c r="AF126" i="7"/>
  <c r="AE126" i="7"/>
  <c r="AC126" i="7"/>
  <c r="AB126" i="7"/>
  <c r="AH125" i="7"/>
  <c r="AG125" i="7"/>
  <c r="AF125" i="7"/>
  <c r="AE125" i="7"/>
  <c r="AC125" i="7"/>
  <c r="AB125" i="7"/>
  <c r="AA125" i="7"/>
  <c r="AH124" i="7"/>
  <c r="AG124" i="7"/>
  <c r="AF124" i="7"/>
  <c r="AE124" i="7"/>
  <c r="AC124" i="7"/>
  <c r="AB124" i="7"/>
  <c r="AA124" i="7"/>
  <c r="AH91" i="7"/>
  <c r="AG91" i="7"/>
  <c r="AF91" i="7"/>
  <c r="AE91" i="7"/>
  <c r="AC91" i="7"/>
  <c r="AB91" i="7"/>
  <c r="AA91" i="7"/>
  <c r="U91" i="7"/>
  <c r="T91" i="7"/>
  <c r="S91" i="7"/>
  <c r="R91" i="7"/>
  <c r="Q109" i="7" s="1"/>
  <c r="P91" i="7"/>
  <c r="O91" i="7"/>
  <c r="N109" i="7" s="1"/>
  <c r="N91" i="7"/>
  <c r="AI109" i="7"/>
  <c r="AH90" i="7"/>
  <c r="AG90" i="7"/>
  <c r="AF109" i="7" s="1"/>
  <c r="AF90" i="7"/>
  <c r="AE90" i="7"/>
  <c r="AC90" i="7"/>
  <c r="AB90" i="7"/>
  <c r="U90" i="7"/>
  <c r="T90" i="7"/>
  <c r="S90" i="7"/>
  <c r="R90" i="7"/>
  <c r="Q108" i="7" s="1"/>
  <c r="R108" i="7" s="1"/>
  <c r="P90" i="7"/>
  <c r="O108" i="7" s="1"/>
  <c r="O90" i="7"/>
  <c r="N108" i="7" s="1"/>
  <c r="N90" i="7"/>
  <c r="AH89" i="7"/>
  <c r="AG89" i="7"/>
  <c r="AF89" i="7"/>
  <c r="AE89" i="7"/>
  <c r="AC89" i="7"/>
  <c r="AB89" i="7"/>
  <c r="AA89" i="7"/>
  <c r="U89" i="7"/>
  <c r="T107" i="7" s="1"/>
  <c r="W107" i="7" s="1"/>
  <c r="T89" i="7"/>
  <c r="S107" i="7" s="1"/>
  <c r="S89" i="7"/>
  <c r="R89" i="7"/>
  <c r="Q107" i="7" s="1"/>
  <c r="P89" i="7"/>
  <c r="O107" i="7" s="1"/>
  <c r="O89" i="7"/>
  <c r="N107" i="7" s="1"/>
  <c r="AH88" i="7"/>
  <c r="AG88" i="7"/>
  <c r="AF88" i="7"/>
  <c r="AE88" i="7"/>
  <c r="AD108" i="7" s="1"/>
  <c r="AC88" i="7"/>
  <c r="AB108" i="7" s="1"/>
  <c r="AB88" i="7"/>
  <c r="AA108" i="7" s="1"/>
  <c r="AA88" i="7"/>
  <c r="U88" i="7"/>
  <c r="T88" i="7"/>
  <c r="S88" i="7"/>
  <c r="R88" i="7"/>
  <c r="P88" i="7"/>
  <c r="O88" i="7"/>
  <c r="N88" i="7"/>
  <c r="AH87" i="7"/>
  <c r="AG87" i="7"/>
  <c r="AF87" i="7"/>
  <c r="AE87" i="7"/>
  <c r="AD107" i="7" s="1"/>
  <c r="AC87" i="7"/>
  <c r="AB107" i="7" s="1"/>
  <c r="AE107" i="7" s="1"/>
  <c r="AB87" i="7"/>
  <c r="AA107" i="7" s="1"/>
  <c r="U87" i="7"/>
  <c r="T87" i="7"/>
  <c r="S87" i="7"/>
  <c r="R87" i="7"/>
  <c r="Q105" i="7" s="1"/>
  <c r="R105" i="7" s="1"/>
  <c r="P87" i="7"/>
  <c r="O105" i="7" s="1"/>
  <c r="O87" i="7"/>
  <c r="N105" i="7" s="1"/>
  <c r="N87" i="7"/>
  <c r="AH86" i="7"/>
  <c r="AG86" i="7"/>
  <c r="AF86" i="7"/>
  <c r="AE86" i="7"/>
  <c r="AD106" i="7" s="1"/>
  <c r="AC86" i="7"/>
  <c r="AB106" i="7" s="1"/>
  <c r="AE106" i="7" s="1"/>
  <c r="AB86" i="7"/>
  <c r="AA106" i="7" s="1"/>
  <c r="AA86" i="7"/>
  <c r="U86" i="7"/>
  <c r="T104" i="7" s="1"/>
  <c r="T86" i="7"/>
  <c r="S104" i="7" s="1"/>
  <c r="S86" i="7"/>
  <c r="R86" i="7"/>
  <c r="Q104" i="7" s="1"/>
  <c r="R104" i="7" s="1"/>
  <c r="P86" i="7"/>
  <c r="O104" i="7" s="1"/>
  <c r="O86" i="7"/>
  <c r="N104" i="7" s="1"/>
  <c r="N86" i="7"/>
  <c r="AH85" i="7"/>
  <c r="AG85" i="7"/>
  <c r="AF85" i="7"/>
  <c r="AE85" i="7"/>
  <c r="AC85" i="7"/>
  <c r="AB85" i="7"/>
  <c r="U85" i="7"/>
  <c r="T85" i="7"/>
  <c r="S85" i="7"/>
  <c r="R85" i="7"/>
  <c r="Q103" i="7" s="1"/>
  <c r="P85" i="7"/>
  <c r="O103" i="7" s="1"/>
  <c r="N85" i="7"/>
  <c r="AH84" i="7"/>
  <c r="AG104" i="7" s="1"/>
  <c r="AJ104" i="7" s="1"/>
  <c r="AG84" i="7"/>
  <c r="AF104" i="7" s="1"/>
  <c r="AF84" i="7"/>
  <c r="AE84" i="7"/>
  <c r="AC84" i="7"/>
  <c r="AB84" i="7"/>
  <c r="AA84" i="7"/>
  <c r="U84" i="7"/>
  <c r="T84" i="7"/>
  <c r="S84" i="7"/>
  <c r="R84" i="7"/>
  <c r="Q102" i="7" s="1"/>
  <c r="R102" i="7" s="1"/>
  <c r="P84" i="7"/>
  <c r="O102" i="7" s="1"/>
  <c r="O84" i="7"/>
  <c r="N102" i="7" s="1"/>
  <c r="N84" i="7"/>
  <c r="AH83" i="7"/>
  <c r="AG83" i="7"/>
  <c r="AF83" i="7"/>
  <c r="AE83" i="7"/>
  <c r="AC83" i="7"/>
  <c r="AB83" i="7"/>
  <c r="AA83" i="7"/>
  <c r="U83" i="7"/>
  <c r="T83" i="7"/>
  <c r="S83" i="7"/>
  <c r="R83" i="7"/>
  <c r="P83" i="7"/>
  <c r="O83" i="7"/>
  <c r="N83" i="7"/>
  <c r="AH82" i="7"/>
  <c r="AG82" i="7"/>
  <c r="AF82" i="7"/>
  <c r="AE82" i="7"/>
  <c r="AC82" i="7"/>
  <c r="AB82" i="7"/>
  <c r="U82" i="7"/>
  <c r="T82" i="7"/>
  <c r="S82" i="7"/>
  <c r="R82" i="7"/>
  <c r="P82" i="7"/>
  <c r="O82" i="7"/>
  <c r="N82" i="7"/>
  <c r="AH81" i="7"/>
  <c r="AG81" i="7"/>
  <c r="AF81" i="7"/>
  <c r="AE81" i="7"/>
  <c r="AC81" i="7"/>
  <c r="AB81" i="7"/>
  <c r="AA81" i="7"/>
  <c r="U81" i="7"/>
  <c r="T81" i="7"/>
  <c r="S81" i="7"/>
  <c r="R81" i="7"/>
  <c r="P81" i="7"/>
  <c r="O81" i="7"/>
  <c r="N81" i="7"/>
  <c r="AH80" i="7"/>
  <c r="AG80" i="7"/>
  <c r="AF80" i="7"/>
  <c r="AE80" i="7"/>
  <c r="AC80" i="7"/>
  <c r="AB80" i="7"/>
  <c r="U80" i="7"/>
  <c r="T80" i="7"/>
  <c r="S80" i="7"/>
  <c r="R80" i="7"/>
  <c r="Q99" i="7" s="1"/>
  <c r="P80" i="7"/>
  <c r="O99" i="7" s="1"/>
  <c r="O80" i="7"/>
  <c r="N99" i="7" s="1"/>
  <c r="N80" i="7"/>
  <c r="AH45" i="7"/>
  <c r="AG45" i="7"/>
  <c r="AE45" i="7"/>
  <c r="AC45" i="7"/>
  <c r="AB45" i="7"/>
  <c r="U45" i="7"/>
  <c r="T45" i="7"/>
  <c r="S45" i="7"/>
  <c r="R45" i="7"/>
  <c r="P45" i="7"/>
  <c r="O45" i="7"/>
  <c r="N45" i="7"/>
  <c r="AH44" i="7"/>
  <c r="AG60" i="7" s="1"/>
  <c r="AJ60" i="7" s="1"/>
  <c r="AG44" i="7"/>
  <c r="AF60" i="7" s="1"/>
  <c r="AE44" i="7"/>
  <c r="AC44" i="7"/>
  <c r="AB44" i="7"/>
  <c r="V62" i="7"/>
  <c r="U44" i="7"/>
  <c r="T62" i="7" s="1"/>
  <c r="T44" i="7"/>
  <c r="S62" i="7" s="1"/>
  <c r="S44" i="7"/>
  <c r="R44" i="7"/>
  <c r="Q62" i="7" s="1"/>
  <c r="P44" i="7"/>
  <c r="O62" i="7" s="1"/>
  <c r="O44" i="7"/>
  <c r="N62" i="7" s="1"/>
  <c r="N44" i="7"/>
  <c r="AI59" i="7"/>
  <c r="AH43" i="7"/>
  <c r="AG59" i="7" s="1"/>
  <c r="AJ59" i="7" s="1"/>
  <c r="AG43" i="7"/>
  <c r="AF59" i="7" s="1"/>
  <c r="AE43" i="7"/>
  <c r="AD59" i="7" s="1"/>
  <c r="AC43" i="7"/>
  <c r="AB59" i="7" s="1"/>
  <c r="AE59" i="7" s="1"/>
  <c r="AB43" i="7"/>
  <c r="AA59" i="7" s="1"/>
  <c r="V61" i="7"/>
  <c r="U43" i="7"/>
  <c r="T61" i="7" s="1"/>
  <c r="T43" i="7"/>
  <c r="S61" i="7" s="1"/>
  <c r="S43" i="7"/>
  <c r="R43" i="7"/>
  <c r="Q61" i="7" s="1"/>
  <c r="P43" i="7"/>
  <c r="O61" i="7" s="1"/>
  <c r="O43" i="7"/>
  <c r="N61" i="7" s="1"/>
  <c r="AH42" i="7"/>
  <c r="AG42" i="7"/>
  <c r="AE42" i="7"/>
  <c r="AD58" i="7" s="1"/>
  <c r="AC42" i="7"/>
  <c r="AB58" i="7" s="1"/>
  <c r="AE58" i="7" s="1"/>
  <c r="AB42" i="7"/>
  <c r="AA58" i="7" s="1"/>
  <c r="V60" i="7"/>
  <c r="U42" i="7"/>
  <c r="T60" i="7" s="1"/>
  <c r="T42" i="7"/>
  <c r="S60" i="7" s="1"/>
  <c r="S42" i="7"/>
  <c r="R42" i="7"/>
  <c r="Q60" i="7" s="1"/>
  <c r="P42" i="7"/>
  <c r="O60" i="7" s="1"/>
  <c r="O42" i="7"/>
  <c r="N60" i="7" s="1"/>
  <c r="N42" i="7"/>
  <c r="AI57" i="7"/>
  <c r="AH41" i="7"/>
  <c r="AG57" i="7" s="1"/>
  <c r="AJ57" i="7" s="1"/>
  <c r="AG41" i="7"/>
  <c r="AF57" i="7" s="1"/>
  <c r="AE41" i="7"/>
  <c r="AD57" i="7" s="1"/>
  <c r="AC41" i="7"/>
  <c r="AB57" i="7" s="1"/>
  <c r="AE57" i="7" s="1"/>
  <c r="AB41" i="7"/>
  <c r="AA57" i="7" s="1"/>
  <c r="AA41" i="7"/>
  <c r="V59" i="7"/>
  <c r="U41" i="7"/>
  <c r="T59" i="7" s="1"/>
  <c r="T41" i="7"/>
  <c r="S59" i="7" s="1"/>
  <c r="S41" i="7"/>
  <c r="R41" i="7"/>
  <c r="Q59" i="7" s="1"/>
  <c r="P41" i="7"/>
  <c r="O59" i="7" s="1"/>
  <c r="O41" i="7"/>
  <c r="N59" i="7" s="1"/>
  <c r="N41" i="7"/>
  <c r="AH40" i="7"/>
  <c r="AG40" i="7"/>
  <c r="AE40" i="7"/>
  <c r="AC40" i="7"/>
  <c r="AB40" i="7"/>
  <c r="V58" i="7"/>
  <c r="U40" i="7"/>
  <c r="T58" i="7" s="1"/>
  <c r="T40" i="7"/>
  <c r="S58" i="7" s="1"/>
  <c r="S40" i="7"/>
  <c r="R40" i="7"/>
  <c r="Q58" i="7" s="1"/>
  <c r="P40" i="7"/>
  <c r="O58" i="7" s="1"/>
  <c r="O40" i="7"/>
  <c r="N58" i="7" s="1"/>
  <c r="N40" i="7"/>
  <c r="AI56" i="7"/>
  <c r="AH39" i="7"/>
  <c r="AG56" i="7" s="1"/>
  <c r="AJ56" i="7" s="1"/>
  <c r="AG39" i="7"/>
  <c r="AF56" i="7" s="1"/>
  <c r="AE39" i="7"/>
  <c r="AD56" i="7" s="1"/>
  <c r="AC39" i="7"/>
  <c r="AB56" i="7" s="1"/>
  <c r="AE56" i="7" s="1"/>
  <c r="AB39" i="7"/>
  <c r="AA56" i="7" s="1"/>
  <c r="AA39" i="7"/>
  <c r="U39" i="7"/>
  <c r="T39" i="7"/>
  <c r="S39" i="7"/>
  <c r="R39" i="7"/>
  <c r="P39" i="7"/>
  <c r="O39" i="7"/>
  <c r="N39" i="7"/>
  <c r="AI55" i="7"/>
  <c r="AH38" i="7"/>
  <c r="AG38" i="7"/>
  <c r="AF55" i="7" s="1"/>
  <c r="AE38" i="7"/>
  <c r="AD55" i="7" s="1"/>
  <c r="AC38" i="7"/>
  <c r="AB55" i="7" s="1"/>
  <c r="AB38" i="7"/>
  <c r="AA55" i="7" s="1"/>
  <c r="V57" i="7"/>
  <c r="U38" i="7"/>
  <c r="T57" i="7" s="1"/>
  <c r="T38" i="7"/>
  <c r="S57" i="7" s="1"/>
  <c r="S38" i="7"/>
  <c r="R38" i="7"/>
  <c r="Q57" i="7" s="1"/>
  <c r="P38" i="7"/>
  <c r="O57" i="7" s="1"/>
  <c r="O38" i="7"/>
  <c r="N57" i="7" s="1"/>
  <c r="N38" i="7"/>
  <c r="AH37" i="7"/>
  <c r="AG37" i="7"/>
  <c r="AE37" i="7"/>
  <c r="AD54" i="7" s="1"/>
  <c r="AC37" i="7"/>
  <c r="AB54" i="7" s="1"/>
  <c r="AB37" i="7"/>
  <c r="AA54" i="7" s="1"/>
  <c r="V56" i="7"/>
  <c r="U37" i="7"/>
  <c r="T56" i="7" s="1"/>
  <c r="T37" i="7"/>
  <c r="S56" i="7" s="1"/>
  <c r="S37" i="7"/>
  <c r="R37" i="7"/>
  <c r="Q56" i="7" s="1"/>
  <c r="P37" i="7"/>
  <c r="O56" i="7" s="1"/>
  <c r="O37" i="7"/>
  <c r="N56" i="7" s="1"/>
  <c r="N37" i="7"/>
  <c r="AH36" i="7"/>
  <c r="AG36" i="7"/>
  <c r="AE36" i="7"/>
  <c r="AC36" i="7"/>
  <c r="AB36" i="7"/>
  <c r="AA36" i="7"/>
  <c r="V55" i="7"/>
  <c r="U36" i="7"/>
  <c r="T55" i="7" s="1"/>
  <c r="T36" i="7"/>
  <c r="S55" i="7" s="1"/>
  <c r="S36" i="7"/>
  <c r="R36" i="7"/>
  <c r="Q55" i="7" s="1"/>
  <c r="P36" i="7"/>
  <c r="O55" i="7" s="1"/>
  <c r="O36" i="7"/>
  <c r="N55" i="7" s="1"/>
  <c r="N36" i="7"/>
  <c r="AH35" i="7"/>
  <c r="AG35" i="7"/>
  <c r="AE35" i="7"/>
  <c r="AC35" i="7"/>
  <c r="AB35" i="7"/>
  <c r="V54" i="7"/>
  <c r="U35" i="7"/>
  <c r="T54" i="7" s="1"/>
  <c r="T35" i="7"/>
  <c r="S54" i="7" s="1"/>
  <c r="S35" i="7"/>
  <c r="R35" i="7"/>
  <c r="Q54" i="7" s="1"/>
  <c r="P35" i="7"/>
  <c r="O54" i="7" s="1"/>
  <c r="O35" i="7"/>
  <c r="N54" i="7" s="1"/>
  <c r="N35" i="7"/>
  <c r="AI53" i="7"/>
  <c r="AG53" i="7"/>
  <c r="AG34" i="7"/>
  <c r="AF53" i="7" s="1"/>
  <c r="AE34" i="7"/>
  <c r="AC34" i="7"/>
  <c r="AB34" i="7"/>
  <c r="V53" i="7"/>
  <c r="U34" i="7"/>
  <c r="T34" i="7"/>
  <c r="S53" i="7" s="1"/>
  <c r="S34" i="7"/>
  <c r="R34" i="7"/>
  <c r="Q53" i="7" s="1"/>
  <c r="P34" i="7"/>
  <c r="N34" i="7"/>
  <c r="Q16" i="8"/>
  <c r="J69" i="4"/>
  <c r="H69" i="4"/>
  <c r="G69" i="4"/>
  <c r="F69" i="4"/>
  <c r="U116" i="13"/>
  <c r="U72" i="13"/>
  <c r="N21" i="5"/>
  <c r="N110" i="13"/>
  <c r="N66" i="13"/>
  <c r="N21" i="13"/>
  <c r="Q20" i="5"/>
  <c r="Q109" i="13"/>
  <c r="Q65" i="13"/>
  <c r="Q20" i="13"/>
  <c r="D26" i="5"/>
  <c r="G26" i="5" s="1"/>
  <c r="M25" i="5"/>
  <c r="M114" i="13"/>
  <c r="M70" i="13"/>
  <c r="M25" i="13"/>
  <c r="M27" i="5"/>
  <c r="M116" i="13"/>
  <c r="M72" i="13"/>
  <c r="M27" i="13"/>
  <c r="N124" i="13"/>
  <c r="N80" i="13"/>
  <c r="N35" i="13"/>
  <c r="D25" i="5"/>
  <c r="D118" i="13"/>
  <c r="G118" i="13" s="1"/>
  <c r="D74" i="13"/>
  <c r="G74" i="13" s="1"/>
  <c r="D29" i="13"/>
  <c r="G29" i="13" s="1"/>
  <c r="N10" i="5"/>
  <c r="N99" i="13"/>
  <c r="N55" i="13"/>
  <c r="N10" i="13"/>
  <c r="F107" i="3"/>
  <c r="E107" i="3"/>
  <c r="F106" i="3"/>
  <c r="E106" i="3"/>
  <c r="D103" i="13"/>
  <c r="G103" i="13" s="1"/>
  <c r="D59" i="13"/>
  <c r="G59" i="13" s="1"/>
  <c r="D14" i="13"/>
  <c r="G14" i="13" s="1"/>
  <c r="F61" i="3"/>
  <c r="E61" i="3"/>
  <c r="F52" i="3"/>
  <c r="E52" i="3"/>
  <c r="F47" i="3"/>
  <c r="E47" i="3"/>
  <c r="F42" i="3"/>
  <c r="E42" i="3"/>
  <c r="F37" i="3"/>
  <c r="E37" i="3"/>
  <c r="F32" i="3"/>
  <c r="E32" i="3"/>
  <c r="F25" i="3"/>
  <c r="F22" i="7" s="1"/>
  <c r="B20" i="2"/>
  <c r="B16" i="2"/>
  <c r="C9" i="2"/>
  <c r="G6" i="1"/>
  <c r="H9" i="2" s="1"/>
  <c r="AB65" i="7" l="1"/>
  <c r="AE54" i="7"/>
  <c r="AE65" i="7" s="1"/>
  <c r="AE55" i="7"/>
  <c r="R103" i="7"/>
  <c r="W104" i="7"/>
  <c r="W112" i="7" s="1"/>
  <c r="AE147" i="7"/>
  <c r="AE155" i="7" s="1"/>
  <c r="R107" i="7"/>
  <c r="AE108" i="7"/>
  <c r="W57" i="7"/>
  <c r="W59" i="7"/>
  <c r="AA72" i="13"/>
  <c r="I25" i="3"/>
  <c r="I22" i="7" s="1"/>
  <c r="AA27" i="13"/>
  <c r="E25" i="3"/>
  <c r="E22" i="7" s="1"/>
  <c r="F17" i="3"/>
  <c r="F13" i="7" s="1"/>
  <c r="I13" i="7"/>
  <c r="E17" i="3"/>
  <c r="E13" i="7" s="1"/>
  <c r="AB136" i="7"/>
  <c r="R57" i="7"/>
  <c r="R59" i="7"/>
  <c r="W46" i="7"/>
  <c r="U92" i="7"/>
  <c r="T16" i="8" s="1"/>
  <c r="O109" i="7"/>
  <c r="O112" i="7" s="1"/>
  <c r="R55" i="7"/>
  <c r="R56" i="7"/>
  <c r="R60" i="7"/>
  <c r="R61" i="7"/>
  <c r="R62" i="7"/>
  <c r="AD91" i="7"/>
  <c r="W56" i="7"/>
  <c r="W62" i="7"/>
  <c r="W55" i="7"/>
  <c r="W60" i="7"/>
  <c r="W61" i="7"/>
  <c r="O53" i="7"/>
  <c r="O65" i="7" s="1"/>
  <c r="T53" i="7"/>
  <c r="T65" i="7" s="1"/>
  <c r="R54" i="7"/>
  <c r="W54" i="7"/>
  <c r="R58" i="7"/>
  <c r="W58" i="7"/>
  <c r="AI126" i="7"/>
  <c r="AH144" i="7" s="1"/>
  <c r="AI128" i="7"/>
  <c r="V86" i="7"/>
  <c r="U104" i="7" s="1"/>
  <c r="T112" i="7"/>
  <c r="P24" i="9"/>
  <c r="S16" i="8"/>
  <c r="R16" i="8"/>
  <c r="F28" i="4"/>
  <c r="F39" i="4" s="1"/>
  <c r="V81" i="7"/>
  <c r="V85" i="7"/>
  <c r="V87" i="7"/>
  <c r="V89" i="7"/>
  <c r="U107" i="7" s="1"/>
  <c r="AD125" i="7"/>
  <c r="AD133" i="7"/>
  <c r="Q40" i="7"/>
  <c r="P58" i="7" s="1"/>
  <c r="Q45" i="7"/>
  <c r="V82" i="7"/>
  <c r="V84" i="7"/>
  <c r="V88" i="7"/>
  <c r="R99" i="7"/>
  <c r="F33" i="4"/>
  <c r="V40" i="7"/>
  <c r="U58" i="7" s="1"/>
  <c r="AD40" i="7"/>
  <c r="AI40" i="7"/>
  <c r="V41" i="7"/>
  <c r="U59" i="7" s="1"/>
  <c r="V42" i="7"/>
  <c r="U60" i="7" s="1"/>
  <c r="Q43" i="7"/>
  <c r="P61" i="7" s="1"/>
  <c r="V43" i="7"/>
  <c r="U61" i="7" s="1"/>
  <c r="AD44" i="7"/>
  <c r="AI44" i="7"/>
  <c r="AH60" i="7" s="1"/>
  <c r="V80" i="7"/>
  <c r="AI80" i="7"/>
  <c r="AD81" i="7"/>
  <c r="AI81" i="7"/>
  <c r="Q82" i="7"/>
  <c r="AD84" i="7"/>
  <c r="AI84" i="7"/>
  <c r="AH104" i="7" s="1"/>
  <c r="AD85" i="7"/>
  <c r="AI85" i="7"/>
  <c r="Q86" i="7"/>
  <c r="P104" i="7" s="1"/>
  <c r="Q90" i="7"/>
  <c r="P108" i="7" s="1"/>
  <c r="AD129" i="7"/>
  <c r="AC147" i="7" s="1"/>
  <c r="AI129" i="7"/>
  <c r="AH147" i="7" s="1"/>
  <c r="AD131" i="7"/>
  <c r="AI131" i="7"/>
  <c r="Q27" i="10"/>
  <c r="Q30" i="10" s="1"/>
  <c r="I15" i="6" s="1"/>
  <c r="Q35" i="7"/>
  <c r="P54" i="7" s="1"/>
  <c r="V35" i="7"/>
  <c r="U54" i="7" s="1"/>
  <c r="AD35" i="7"/>
  <c r="AI35" i="7"/>
  <c r="Q36" i="7"/>
  <c r="P55" i="7" s="1"/>
  <c r="V36" i="7"/>
  <c r="U55" i="7" s="1"/>
  <c r="AD36" i="7"/>
  <c r="AI36" i="7"/>
  <c r="Q37" i="7"/>
  <c r="P56" i="7" s="1"/>
  <c r="V37" i="7"/>
  <c r="U56" i="7" s="1"/>
  <c r="Q38" i="7"/>
  <c r="P57" i="7" s="1"/>
  <c r="V38" i="7"/>
  <c r="U57" i="7" s="1"/>
  <c r="AI38" i="7"/>
  <c r="AH55" i="7" s="1"/>
  <c r="Q39" i="7"/>
  <c r="V39" i="7"/>
  <c r="AD45" i="7"/>
  <c r="AI45" i="7"/>
  <c r="T8" i="8"/>
  <c r="T10" i="8" s="1"/>
  <c r="T20" i="8" s="1"/>
  <c r="AD82" i="7"/>
  <c r="AI82" i="7"/>
  <c r="Q83" i="7"/>
  <c r="AI83" i="7"/>
  <c r="Q87" i="7"/>
  <c r="P105" i="7" s="1"/>
  <c r="AD87" i="7"/>
  <c r="AC107" i="7" s="1"/>
  <c r="AI87" i="7"/>
  <c r="AI91" i="7"/>
  <c r="AI125" i="7"/>
  <c r="AI127" i="7"/>
  <c r="AD134" i="7"/>
  <c r="AI135" i="7"/>
  <c r="Q44" i="7"/>
  <c r="P62" i="7" s="1"/>
  <c r="U46" i="7"/>
  <c r="T46" i="7"/>
  <c r="AI134" i="7"/>
  <c r="H37" i="4"/>
  <c r="H33" i="4"/>
  <c r="Q34" i="7"/>
  <c r="P53" i="7" s="1"/>
  <c r="Q42" i="7"/>
  <c r="P60" i="7" s="1"/>
  <c r="V83" i="7"/>
  <c r="AI89" i="7"/>
  <c r="AB92" i="7"/>
  <c r="G28" i="4"/>
  <c r="G39" i="4" s="1"/>
  <c r="O46" i="7"/>
  <c r="AI86" i="7"/>
  <c r="V90" i="7"/>
  <c r="V91" i="7"/>
  <c r="AD135" i="7"/>
  <c r="Q41" i="7"/>
  <c r="P59" i="7" s="1"/>
  <c r="AD34" i="7"/>
  <c r="AD38" i="7"/>
  <c r="AC55" i="7" s="1"/>
  <c r="AD42" i="7"/>
  <c r="AC58" i="7" s="1"/>
  <c r="AD83" i="7"/>
  <c r="AI88" i="7"/>
  <c r="AE46" i="7"/>
  <c r="AJ136" i="7"/>
  <c r="AI130" i="7"/>
  <c r="AD37" i="7"/>
  <c r="AC54" i="7" s="1"/>
  <c r="AD39" i="7"/>
  <c r="AC56" i="7" s="1"/>
  <c r="AD41" i="7"/>
  <c r="AC57" i="7" s="1"/>
  <c r="AD43" i="7"/>
  <c r="AC59" i="7" s="1"/>
  <c r="AD89" i="7"/>
  <c r="AD90" i="7"/>
  <c r="AI124" i="7"/>
  <c r="AD127" i="7"/>
  <c r="AI132" i="7"/>
  <c r="AA116" i="13"/>
  <c r="AJ53" i="7"/>
  <c r="AJ65" i="7" s="1"/>
  <c r="R53" i="7"/>
  <c r="R65" i="7" s="1"/>
  <c r="G37" i="4"/>
  <c r="D26" i="13"/>
  <c r="G26" i="13" s="1"/>
  <c r="H28" i="4"/>
  <c r="H39" i="4" s="1"/>
  <c r="P46" i="11"/>
  <c r="P9" i="12"/>
  <c r="P33" i="12" s="1"/>
  <c r="P9" i="10"/>
  <c r="S8" i="8"/>
  <c r="S10" i="8" s="1"/>
  <c r="S20" i="8" s="1"/>
  <c r="AG46" i="7"/>
  <c r="G114" i="13" s="1"/>
  <c r="AG55" i="7"/>
  <c r="AJ55" i="7" s="1"/>
  <c r="AE92" i="7"/>
  <c r="Q81" i="7"/>
  <c r="Q85" i="7"/>
  <c r="P103" i="7" s="1"/>
  <c r="Q89" i="7"/>
  <c r="P107" i="7" s="1"/>
  <c r="AI34" i="7"/>
  <c r="AH53" i="7" s="1"/>
  <c r="AI37" i="7"/>
  <c r="AI39" i="7"/>
  <c r="AH56" i="7" s="1"/>
  <c r="AI41" i="7"/>
  <c r="AH57" i="7" s="1"/>
  <c r="AI42" i="7"/>
  <c r="AI43" i="7"/>
  <c r="AH59" i="7" s="1"/>
  <c r="AB46" i="7"/>
  <c r="Q80" i="7"/>
  <c r="P99" i="7" s="1"/>
  <c r="Q84" i="7"/>
  <c r="P102" i="7" s="1"/>
  <c r="AD86" i="7"/>
  <c r="AC106" i="7" s="1"/>
  <c r="Q88" i="7"/>
  <c r="AB155" i="7"/>
  <c r="V111" i="13"/>
  <c r="N24" i="9"/>
  <c r="N9" i="12"/>
  <c r="N33" i="12" s="1"/>
  <c r="N9" i="10"/>
  <c r="N46" i="11"/>
  <c r="Q9" i="12"/>
  <c r="Q33" i="12" s="1"/>
  <c r="Q46" i="11"/>
  <c r="Q8" i="8"/>
  <c r="Q10" i="8" s="1"/>
  <c r="Q20" i="8" s="1"/>
  <c r="AJ46" i="7"/>
  <c r="AB112" i="7"/>
  <c r="AG92" i="7"/>
  <c r="D70" i="13" s="1"/>
  <c r="G25" i="3"/>
  <c r="G22" i="7" s="1"/>
  <c r="G33" i="4"/>
  <c r="O9" i="12"/>
  <c r="O33" i="12" s="1"/>
  <c r="O9" i="10"/>
  <c r="O46" i="11"/>
  <c r="O24" i="9"/>
  <c r="R8" i="8"/>
  <c r="R10" i="8" s="1"/>
  <c r="R20" i="8" s="1"/>
  <c r="V34" i="7"/>
  <c r="U53" i="7" s="1"/>
  <c r="V44" i="7"/>
  <c r="U62" i="7" s="1"/>
  <c r="R46" i="7"/>
  <c r="AD80" i="7"/>
  <c r="AJ92" i="7"/>
  <c r="AD88" i="7"/>
  <c r="AC108" i="7" s="1"/>
  <c r="AI90" i="7"/>
  <c r="AH109" i="7" s="1"/>
  <c r="AG109" i="7"/>
  <c r="AJ109" i="7" s="1"/>
  <c r="Q91" i="7"/>
  <c r="P109" i="7" s="1"/>
  <c r="AD124" i="7"/>
  <c r="AD126" i="7"/>
  <c r="AD128" i="7"/>
  <c r="AD130" i="7"/>
  <c r="AC148" i="7" s="1"/>
  <c r="AD132" i="7"/>
  <c r="AG136" i="7"/>
  <c r="G25" i="13" s="1"/>
  <c r="AI133" i="7"/>
  <c r="AE136" i="7"/>
  <c r="D115" i="13"/>
  <c r="G115" i="13" s="1"/>
  <c r="F128" i="3"/>
  <c r="D58" i="13"/>
  <c r="G58" i="13" s="1"/>
  <c r="F129" i="3"/>
  <c r="D102" i="13"/>
  <c r="G102" i="13" s="1"/>
  <c r="T15" i="5"/>
  <c r="D13" i="13"/>
  <c r="N13" i="13" s="1"/>
  <c r="J33" i="4"/>
  <c r="D14" i="5"/>
  <c r="G14" i="5" s="1"/>
  <c r="D13" i="5"/>
  <c r="U27" i="5"/>
  <c r="AA27" i="5"/>
  <c r="I69" i="4"/>
  <c r="D117" i="13"/>
  <c r="F130" i="3"/>
  <c r="V67" i="13"/>
  <c r="T60" i="13"/>
  <c r="P61" i="13"/>
  <c r="U27" i="13"/>
  <c r="H36" i="4"/>
  <c r="H45" i="4" s="1"/>
  <c r="H73" i="4" s="1"/>
  <c r="G29" i="5"/>
  <c r="V45" i="7"/>
  <c r="G25" i="5"/>
  <c r="AG65" i="7" l="1"/>
  <c r="P105" i="13"/>
  <c r="E30" i="2"/>
  <c r="R109" i="7"/>
  <c r="E14" i="7"/>
  <c r="G80" i="4"/>
  <c r="G14" i="7"/>
  <c r="I80" i="4"/>
  <c r="V121" i="13"/>
  <c r="U8" i="8"/>
  <c r="U10" i="8" s="1"/>
  <c r="U20" i="8" s="1"/>
  <c r="U21" i="8" s="1"/>
  <c r="Q66" i="7"/>
  <c r="R39" i="11" s="1"/>
  <c r="R112" i="7"/>
  <c r="Q113" i="7" s="1"/>
  <c r="Q39" i="11" s="1"/>
  <c r="AD66" i="7"/>
  <c r="P39" i="11" s="1"/>
  <c r="V113" i="7"/>
  <c r="AE112" i="7"/>
  <c r="AD113" i="7" s="1"/>
  <c r="O39" i="11" s="1"/>
  <c r="O40" i="11" s="1"/>
  <c r="O42" i="11" s="1"/>
  <c r="O44" i="11" s="1"/>
  <c r="O47" i="11" s="1"/>
  <c r="O51" i="11" s="1"/>
  <c r="G16" i="6" s="1"/>
  <c r="T9" i="8"/>
  <c r="R9" i="8"/>
  <c r="S9" i="8"/>
  <c r="Q9" i="8"/>
  <c r="U16" i="8"/>
  <c r="D71" i="13"/>
  <c r="G71" i="13" s="1"/>
  <c r="N58" i="13"/>
  <c r="G70" i="13"/>
  <c r="G36" i="4"/>
  <c r="G45" i="4" s="1"/>
  <c r="Q46" i="7"/>
  <c r="R24" i="9"/>
  <c r="N102" i="13"/>
  <c r="R46" i="11"/>
  <c r="T104" i="13"/>
  <c r="G13" i="13"/>
  <c r="R9" i="12"/>
  <c r="R33" i="12" s="1"/>
  <c r="R37" i="12" s="1"/>
  <c r="D114" i="13"/>
  <c r="AJ155" i="7"/>
  <c r="V46" i="7"/>
  <c r="D25" i="13"/>
  <c r="AI136" i="7"/>
  <c r="R9" i="10"/>
  <c r="AD46" i="7"/>
  <c r="N25" i="10"/>
  <c r="N27" i="10" s="1"/>
  <c r="N30" i="10" s="1"/>
  <c r="F15" i="6" s="1"/>
  <c r="P25" i="10"/>
  <c r="P27" i="10" s="1"/>
  <c r="P30" i="10" s="1"/>
  <c r="H15" i="6" s="1"/>
  <c r="O25" i="10"/>
  <c r="O27" i="10" s="1"/>
  <c r="O30" i="10" s="1"/>
  <c r="G15" i="6" s="1"/>
  <c r="AG112" i="7"/>
  <c r="AJ112" i="7"/>
  <c r="AI46" i="7"/>
  <c r="AG155" i="7"/>
  <c r="AI92" i="7"/>
  <c r="AD92" i="7"/>
  <c r="V32" i="13"/>
  <c r="AD136" i="7"/>
  <c r="AD156" i="7"/>
  <c r="N39" i="11" s="1"/>
  <c r="N40" i="11" s="1"/>
  <c r="N42" i="11" s="1"/>
  <c r="N44" i="11" s="1"/>
  <c r="N47" i="11" s="1"/>
  <c r="W53" i="7"/>
  <c r="W65" i="7" s="1"/>
  <c r="V22" i="5"/>
  <c r="N13" i="5"/>
  <c r="G13" i="5"/>
  <c r="J36" i="4"/>
  <c r="J45" i="4" s="1"/>
  <c r="J73" i="4" s="1"/>
  <c r="J37" i="4"/>
  <c r="G117" i="13"/>
  <c r="D73" i="13"/>
  <c r="D28" i="13"/>
  <c r="F78" i="3"/>
  <c r="E130" i="3"/>
  <c r="D30" i="2" s="1"/>
  <c r="D32" i="2" s="1"/>
  <c r="V22" i="13"/>
  <c r="T15" i="13"/>
  <c r="N82" i="13"/>
  <c r="E129" i="3"/>
  <c r="E128" i="3"/>
  <c r="G28" i="13"/>
  <c r="H80" i="4" l="1"/>
  <c r="G73" i="4"/>
  <c r="N51" i="11"/>
  <c r="F16" i="6" s="1"/>
  <c r="H10" i="6"/>
  <c r="H11" i="6" s="1"/>
  <c r="F45" i="2"/>
  <c r="G23" i="7"/>
  <c r="S11" i="8" s="1"/>
  <c r="E45" i="2"/>
  <c r="F23" i="7"/>
  <c r="R11" i="8" s="1"/>
  <c r="G10" i="6"/>
  <c r="G11" i="6" s="1"/>
  <c r="I10" i="6"/>
  <c r="I11" i="6" s="1"/>
  <c r="G45" i="2"/>
  <c r="H23" i="7"/>
  <c r="T11" i="8" s="1"/>
  <c r="T12" i="8"/>
  <c r="Q40" i="11"/>
  <c r="Q42" i="11" s="1"/>
  <c r="Q44" i="11" s="1"/>
  <c r="Q47" i="11" s="1"/>
  <c r="Q20" i="9"/>
  <c r="Q21" i="9" s="1"/>
  <c r="Q23" i="9" s="1"/>
  <c r="V32" i="5"/>
  <c r="I14" i="7"/>
  <c r="V77" i="13"/>
  <c r="F14" i="7"/>
  <c r="R38" i="12"/>
  <c r="K17" i="6" s="1"/>
  <c r="AI156" i="7"/>
  <c r="N20" i="9" s="1"/>
  <c r="N21" i="9" s="1"/>
  <c r="N23" i="9" s="1"/>
  <c r="N25" i="9" s="1"/>
  <c r="N28" i="9" s="1"/>
  <c r="AI113" i="7"/>
  <c r="O20" i="9" s="1"/>
  <c r="O21" i="9" s="1"/>
  <c r="O23" i="9" s="1"/>
  <c r="O25" i="9" s="1"/>
  <c r="O28" i="9" s="1"/>
  <c r="U9" i="8"/>
  <c r="E78" i="3"/>
  <c r="R25" i="10"/>
  <c r="R27" i="10" s="1"/>
  <c r="R30" i="10" s="1"/>
  <c r="J15" i="6" s="1"/>
  <c r="V66" i="7"/>
  <c r="AI66" i="7"/>
  <c r="N126" i="13"/>
  <c r="H32" i="2"/>
  <c r="P16" i="5"/>
  <c r="P16" i="13"/>
  <c r="E32" i="2"/>
  <c r="N37" i="13"/>
  <c r="G73" i="13"/>
  <c r="E262" i="3"/>
  <c r="D38" i="2" s="1"/>
  <c r="D41" i="2" s="1"/>
  <c r="D42" i="2" s="1"/>
  <c r="S12" i="8" l="1"/>
  <c r="S13" i="8" s="1"/>
  <c r="P40" i="11"/>
  <c r="P42" i="11" s="1"/>
  <c r="P44" i="11" s="1"/>
  <c r="P47" i="11" s="1"/>
  <c r="P20" i="9"/>
  <c r="P21" i="9" s="1"/>
  <c r="P23" i="9" s="1"/>
  <c r="N29" i="9"/>
  <c r="F14" i="6" s="1"/>
  <c r="O29" i="9"/>
  <c r="G14" i="6" s="1"/>
  <c r="Q51" i="11"/>
  <c r="I16" i="6" s="1"/>
  <c r="T13" i="8"/>
  <c r="R20" i="9"/>
  <c r="R21" i="9" s="1"/>
  <c r="R23" i="9" s="1"/>
  <c r="R25" i="9" s="1"/>
  <c r="R28" i="9" s="1"/>
  <c r="R29" i="9" s="1"/>
  <c r="R40" i="11"/>
  <c r="R42" i="11" s="1"/>
  <c r="R44" i="11" s="1"/>
  <c r="R47" i="11" s="1"/>
  <c r="R51" i="11" s="1"/>
  <c r="K15" i="6"/>
  <c r="R31" i="10"/>
  <c r="R32" i="10" s="1"/>
  <c r="R12" i="8"/>
  <c r="R13" i="8" s="1"/>
  <c r="Q12" i="8"/>
  <c r="U12" i="8"/>
  <c r="U13" i="8" s="1"/>
  <c r="R15" i="8" l="1"/>
  <c r="R17" i="8" s="1"/>
  <c r="R19" i="8" s="1"/>
  <c r="G13" i="6" s="1"/>
  <c r="G18" i="6" s="1"/>
  <c r="E46" i="2" s="1"/>
  <c r="U15" i="8"/>
  <c r="U17" i="8" s="1"/>
  <c r="U19" i="8" s="1"/>
  <c r="J13" i="6" s="1"/>
  <c r="R30" i="9"/>
  <c r="J14" i="6"/>
  <c r="K14" i="6" s="1"/>
  <c r="T15" i="8"/>
  <c r="T17" i="8" s="1"/>
  <c r="T19" i="8" s="1"/>
  <c r="I13" i="6" s="1"/>
  <c r="I18" i="6" s="1"/>
  <c r="G46" i="2" s="1"/>
  <c r="R52" i="11"/>
  <c r="R53" i="11" s="1"/>
  <c r="J16" i="6"/>
  <c r="K16" i="6" s="1"/>
  <c r="P51" i="11"/>
  <c r="H16" i="6" s="1"/>
  <c r="S15" i="8"/>
  <c r="S17" i="8" s="1"/>
  <c r="S19" i="8" s="1"/>
  <c r="H13" i="6" s="1"/>
  <c r="H18" i="6" s="1"/>
  <c r="F46" i="2" s="1"/>
  <c r="F10" i="6"/>
  <c r="J11" i="6"/>
  <c r="E23" i="7" l="1"/>
  <c r="Q11" i="8" s="1"/>
  <c r="Q13" i="8" s="1"/>
  <c r="D45" i="2"/>
  <c r="G42" i="2"/>
  <c r="E42" i="2"/>
  <c r="J18" i="6"/>
  <c r="H46" i="2" s="1"/>
  <c r="Q15" i="8" l="1"/>
  <c r="Q17" i="8" s="1"/>
  <c r="Q19" i="8" s="1"/>
  <c r="F11" i="6"/>
  <c r="D33" i="6"/>
  <c r="D34" i="6" s="1"/>
  <c r="F13" i="6" l="1"/>
  <c r="F18" i="6" s="1"/>
  <c r="D46" i="2" s="1"/>
  <c r="J28" i="4"/>
  <c r="J39" i="4" s="1"/>
  <c r="K13" i="6" l="1"/>
  <c r="K18" i="6" s="1"/>
</calcChain>
</file>

<file path=xl/sharedStrings.xml><?xml version="1.0" encoding="utf-8"?>
<sst xmlns="http://schemas.openxmlformats.org/spreadsheetml/2006/main" count="2659" uniqueCount="1034">
  <si>
    <t>Sr. No.</t>
  </si>
  <si>
    <t>Month</t>
  </si>
  <si>
    <t>Ammonia</t>
  </si>
  <si>
    <t>Urea</t>
  </si>
  <si>
    <t>On</t>
  </si>
  <si>
    <t>stream</t>
  </si>
  <si>
    <t>production</t>
  </si>
  <si>
    <t>CU</t>
  </si>
  <si>
    <t>SEC</t>
  </si>
  <si>
    <t>days</t>
  </si>
  <si>
    <t>MT</t>
  </si>
  <si>
    <t>%</t>
  </si>
  <si>
    <t>Gcal/MT</t>
  </si>
  <si>
    <t>April</t>
  </si>
  <si>
    <t>May</t>
  </si>
  <si>
    <t>June</t>
  </si>
  <si>
    <t>July</t>
  </si>
  <si>
    <t>August</t>
  </si>
  <si>
    <t>September</t>
  </si>
  <si>
    <t>October</t>
  </si>
  <si>
    <t>November</t>
  </si>
  <si>
    <t>December</t>
  </si>
  <si>
    <t>January</t>
  </si>
  <si>
    <t>February</t>
  </si>
  <si>
    <t>March</t>
  </si>
  <si>
    <t>Reference</t>
  </si>
  <si>
    <t>Notes:</t>
  </si>
  <si>
    <t>(i)</t>
  </si>
  <si>
    <t>Take the month in which , plants have run for all the calendar days.</t>
  </si>
  <si>
    <t>(ii)</t>
  </si>
  <si>
    <t>Capacity utilization during the month should be equal to or above 100%.</t>
  </si>
  <si>
    <t>Impact of Lower Capacity utilization shall be worked out as follows:-</t>
  </si>
  <si>
    <t>Total energy</t>
  </si>
  <si>
    <t>Gcal/yr</t>
  </si>
  <si>
    <t>Sub-total</t>
  </si>
  <si>
    <t>Weighted Average</t>
  </si>
  <si>
    <t>Description</t>
  </si>
  <si>
    <t>Unit</t>
  </si>
  <si>
    <t>Formula</t>
  </si>
  <si>
    <t>Maximum permissible value</t>
  </si>
  <si>
    <t>Gcal/MT urea</t>
  </si>
  <si>
    <t>2008-09</t>
  </si>
  <si>
    <t>2009-10</t>
  </si>
  <si>
    <t>2014-15</t>
  </si>
  <si>
    <t>a</t>
  </si>
  <si>
    <t>b</t>
  </si>
  <si>
    <t>Ammonia Plant</t>
  </si>
  <si>
    <t>Installed capacity</t>
  </si>
  <si>
    <t>1.1.1</t>
  </si>
  <si>
    <t>Re-assed capacity</t>
  </si>
  <si>
    <t>1.1.2</t>
  </si>
  <si>
    <t>Re-vamp capacity</t>
  </si>
  <si>
    <t>1.1.3</t>
  </si>
  <si>
    <t>Actual production</t>
  </si>
  <si>
    <t>1.1.4</t>
  </si>
  <si>
    <t>Capacity utilisation</t>
  </si>
  <si>
    <t>1.1.5</t>
  </si>
  <si>
    <t>Sp. Energy consumption</t>
  </si>
  <si>
    <t>TOP</t>
  </si>
  <si>
    <t>2.1.1</t>
  </si>
  <si>
    <t>2.1.2</t>
  </si>
  <si>
    <t>2.1.3</t>
  </si>
  <si>
    <t>2.1.4</t>
  </si>
  <si>
    <t>2.1.5</t>
  </si>
  <si>
    <t>Gcal/MT ammonia</t>
  </si>
  <si>
    <t>A.1</t>
  </si>
  <si>
    <t>Month-wise production &amp; energy consumption during the year ( 2014-15)</t>
  </si>
  <si>
    <t>Monthly best performance  during the year ( 2014-15)</t>
  </si>
  <si>
    <t>C.1</t>
  </si>
  <si>
    <t>c</t>
  </si>
  <si>
    <t>SEC achieved</t>
  </si>
  <si>
    <t>Fill data</t>
  </si>
  <si>
    <t>Table heading</t>
  </si>
  <si>
    <t>.------</t>
  </si>
  <si>
    <t>Average SEC for best operating months</t>
  </si>
  <si>
    <t>A.2.1</t>
  </si>
  <si>
    <t>A.3.1</t>
  </si>
  <si>
    <t>A.2.2</t>
  </si>
  <si>
    <t>A.3.2</t>
  </si>
  <si>
    <t>A.2.3</t>
  </si>
  <si>
    <t>A.3.3</t>
  </si>
  <si>
    <t>A.2.4</t>
  </si>
  <si>
    <t>A.3.4</t>
  </si>
  <si>
    <t>A.2.5</t>
  </si>
  <si>
    <t>A.3.5</t>
  </si>
  <si>
    <t xml:space="preserve"> Lowest of the either (a) or (b) shall be considered for allowing the impact of lower capacity utilization.</t>
  </si>
  <si>
    <t>(iv)</t>
  </si>
  <si>
    <t>Working area</t>
  </si>
  <si>
    <t>TOP  : Technical Operating Data as submitted to FICC</t>
  </si>
  <si>
    <t>Eligibility for normalization</t>
  </si>
  <si>
    <t>1.1.6</t>
  </si>
  <si>
    <t>On stream days</t>
  </si>
  <si>
    <t>2.1.6</t>
  </si>
  <si>
    <t>Daily capacity</t>
  </si>
  <si>
    <t>Monthly</t>
  </si>
  <si>
    <t>capacity</t>
  </si>
  <si>
    <t>Un-productive energy ( 4-5)</t>
  </si>
  <si>
    <t>"True" is eligible</t>
  </si>
  <si>
    <t>Normalization Factors - summary sheet</t>
  </si>
  <si>
    <t xml:space="preserve">Sp. Energy consumption ( SEC)  - Targeted vs achieved </t>
  </si>
  <si>
    <t>Remarks</t>
  </si>
  <si>
    <t>Urea production</t>
  </si>
  <si>
    <t>Allowable normalization factors</t>
  </si>
  <si>
    <t>Low capacity utilization</t>
  </si>
  <si>
    <t>Indicate months for which, claim is made</t>
  </si>
  <si>
    <t>Cold start up of plant subsequent to forced shut down</t>
  </si>
  <si>
    <t>Use of naphtha</t>
  </si>
  <si>
    <t>Reduction of catalyst</t>
  </si>
  <si>
    <t>Deterioration in quality of coal</t>
  </si>
  <si>
    <t>Check to avoid over lapping</t>
  </si>
  <si>
    <t>After reduction of 2.53 Gcal/te urea</t>
  </si>
  <si>
    <t>Difference in SEC</t>
  </si>
  <si>
    <t>MTOE</t>
  </si>
  <si>
    <t>Baseline urea production x difference in normalized SEC</t>
  </si>
  <si>
    <t>No of forced shut down/cold start up</t>
  </si>
  <si>
    <t>To be filled-in separately for each incident</t>
  </si>
  <si>
    <t>d</t>
  </si>
  <si>
    <t>e</t>
  </si>
  <si>
    <t>SEC for the best operating month</t>
  </si>
  <si>
    <r>
      <t>1.</t>
    </r>
    <r>
      <rPr>
        <sz val="7"/>
        <color theme="1"/>
        <rFont val="Times New Roman"/>
        <family val="1"/>
      </rPr>
      <t xml:space="preserve">       </t>
    </r>
    <r>
      <rPr>
        <sz val="11"/>
        <color theme="1"/>
        <rFont val="Calibri"/>
        <family val="2"/>
        <scheme val="minor"/>
      </rPr>
      <t>Primary Reformer</t>
    </r>
  </si>
  <si>
    <r>
      <t>2.</t>
    </r>
    <r>
      <rPr>
        <sz val="7"/>
        <color theme="1"/>
        <rFont val="Times New Roman"/>
        <family val="1"/>
      </rPr>
      <t xml:space="preserve">       </t>
    </r>
    <r>
      <rPr>
        <sz val="11"/>
        <color theme="1"/>
        <rFont val="Calibri"/>
        <family val="2"/>
        <scheme val="minor"/>
      </rPr>
      <t>Secondary Reformer</t>
    </r>
  </si>
  <si>
    <r>
      <t>3.</t>
    </r>
    <r>
      <rPr>
        <sz val="7"/>
        <color theme="1"/>
        <rFont val="Times New Roman"/>
        <family val="1"/>
      </rPr>
      <t xml:space="preserve">       </t>
    </r>
    <r>
      <rPr>
        <sz val="11"/>
        <color theme="1"/>
        <rFont val="Calibri"/>
        <family val="2"/>
        <scheme val="minor"/>
      </rPr>
      <t>Heat Exchange Reformer</t>
    </r>
  </si>
  <si>
    <r>
      <t>4.</t>
    </r>
    <r>
      <rPr>
        <sz val="7"/>
        <color theme="1"/>
        <rFont val="Times New Roman"/>
        <family val="1"/>
      </rPr>
      <t xml:space="preserve">       </t>
    </r>
    <r>
      <rPr>
        <sz val="11"/>
        <color theme="1"/>
        <rFont val="Calibri"/>
        <family val="2"/>
        <scheme val="minor"/>
      </rPr>
      <t>Reformed Gas Boiler</t>
    </r>
  </si>
  <si>
    <r>
      <t>5.</t>
    </r>
    <r>
      <rPr>
        <sz val="7"/>
        <color theme="1"/>
        <rFont val="Times New Roman"/>
        <family val="1"/>
      </rPr>
      <t xml:space="preserve">       </t>
    </r>
    <r>
      <rPr>
        <sz val="11"/>
        <color theme="1"/>
        <rFont val="Calibri"/>
        <family val="2"/>
        <scheme val="minor"/>
      </rPr>
      <t>Carbon dioxide absorber and stripper</t>
    </r>
  </si>
  <si>
    <r>
      <t>6.</t>
    </r>
    <r>
      <rPr>
        <sz val="7"/>
        <color theme="1"/>
        <rFont val="Times New Roman"/>
        <family val="1"/>
      </rPr>
      <t xml:space="preserve">       </t>
    </r>
    <r>
      <rPr>
        <sz val="11"/>
        <color theme="1"/>
        <rFont val="Calibri"/>
        <family val="2"/>
        <scheme val="minor"/>
      </rPr>
      <t>Air, Refrigeration and synthesis compressors</t>
    </r>
  </si>
  <si>
    <r>
      <t>7.</t>
    </r>
    <r>
      <rPr>
        <sz val="7"/>
        <color theme="1"/>
        <rFont val="Times New Roman"/>
        <family val="1"/>
      </rPr>
      <t xml:space="preserve">       </t>
    </r>
    <r>
      <rPr>
        <sz val="11"/>
        <color theme="1"/>
        <rFont val="Calibri"/>
        <family val="2"/>
        <scheme val="minor"/>
      </rPr>
      <t>Synthesis converters</t>
    </r>
  </si>
  <si>
    <r>
      <t>8.</t>
    </r>
    <r>
      <rPr>
        <sz val="7"/>
        <color theme="1"/>
        <rFont val="Times New Roman"/>
        <family val="1"/>
      </rPr>
      <t xml:space="preserve">       </t>
    </r>
    <r>
      <rPr>
        <sz val="11"/>
        <color theme="1"/>
        <rFont val="Calibri"/>
        <family val="2"/>
        <scheme val="minor"/>
      </rPr>
      <t>Synthesis Gas Waste Heat Boilers</t>
    </r>
  </si>
  <si>
    <r>
      <t>10.</t>
    </r>
    <r>
      <rPr>
        <sz val="7"/>
        <color theme="1"/>
        <rFont val="Times New Roman"/>
        <family val="1"/>
      </rPr>
      <t xml:space="preserve">   </t>
    </r>
    <r>
      <rPr>
        <sz val="11"/>
        <color theme="1"/>
        <rFont val="Calibri"/>
        <family val="2"/>
        <scheme val="minor"/>
      </rPr>
      <t>Carbon dioxide compressor</t>
    </r>
  </si>
  <si>
    <r>
      <t>11.</t>
    </r>
    <r>
      <rPr>
        <sz val="7"/>
        <color theme="1"/>
        <rFont val="Times New Roman"/>
        <family val="1"/>
      </rPr>
      <t xml:space="preserve">   </t>
    </r>
    <r>
      <rPr>
        <sz val="11"/>
        <color theme="1"/>
        <rFont val="Calibri"/>
        <family val="2"/>
        <scheme val="minor"/>
      </rPr>
      <t>Utility boiler furnance</t>
    </r>
  </si>
  <si>
    <r>
      <t>12.</t>
    </r>
    <r>
      <rPr>
        <sz val="7"/>
        <color theme="1"/>
        <rFont val="Times New Roman"/>
        <family val="1"/>
      </rPr>
      <t xml:space="preserve">   </t>
    </r>
    <r>
      <rPr>
        <sz val="11"/>
        <color theme="1"/>
        <rFont val="Calibri"/>
        <family val="2"/>
        <scheme val="minor"/>
      </rPr>
      <t>Gas turbine/HRSG</t>
    </r>
  </si>
  <si>
    <r>
      <t>13.</t>
    </r>
    <r>
      <rPr>
        <sz val="7"/>
        <color theme="1"/>
        <rFont val="Times New Roman"/>
        <family val="1"/>
      </rPr>
      <t xml:space="preserve">   </t>
    </r>
    <r>
      <rPr>
        <sz val="11"/>
        <color theme="1"/>
        <rFont val="Calibri"/>
        <family val="2"/>
        <scheme val="minor"/>
      </rPr>
      <t>Cooling Tower</t>
    </r>
  </si>
  <si>
    <r>
      <t>14.</t>
    </r>
    <r>
      <rPr>
        <sz val="7"/>
        <color theme="1"/>
        <rFont val="Times New Roman"/>
        <family val="1"/>
      </rPr>
      <t xml:space="preserve">   </t>
    </r>
    <r>
      <rPr>
        <sz val="11"/>
        <color theme="1"/>
        <rFont val="Calibri"/>
        <family val="2"/>
        <scheme val="minor"/>
      </rPr>
      <t>Major Firing leading to complete shutdown of plant and cold startup</t>
    </r>
  </si>
  <si>
    <r>
      <t>15.</t>
    </r>
    <r>
      <rPr>
        <sz val="7"/>
        <color theme="1"/>
        <rFont val="Times New Roman"/>
        <family val="1"/>
      </rPr>
      <t xml:space="preserve">   </t>
    </r>
    <r>
      <rPr>
        <sz val="11"/>
        <color theme="1"/>
        <rFont val="Calibri"/>
        <family val="2"/>
        <scheme val="minor"/>
      </rPr>
      <t>Reformer Heat exchanger  along with PR/SR</t>
    </r>
  </si>
  <si>
    <r>
      <t>16.</t>
    </r>
    <r>
      <rPr>
        <sz val="7"/>
        <color theme="1"/>
        <rFont val="Times New Roman"/>
        <family val="1"/>
      </rPr>
      <t xml:space="preserve">   </t>
    </r>
    <r>
      <rPr>
        <sz val="11"/>
        <color theme="1"/>
        <rFont val="Calibri"/>
        <family val="2"/>
        <scheme val="minor"/>
      </rPr>
      <t>Turbo generator along with GTG</t>
    </r>
  </si>
  <si>
    <r>
      <t>17.</t>
    </r>
    <r>
      <rPr>
        <sz val="7"/>
        <color theme="1"/>
        <rFont val="Times New Roman"/>
        <family val="1"/>
      </rPr>
      <t xml:space="preserve">   </t>
    </r>
    <r>
      <rPr>
        <sz val="11"/>
        <color theme="1"/>
        <rFont val="Calibri"/>
        <family val="2"/>
        <scheme val="minor"/>
      </rPr>
      <t xml:space="preserve"> Purifier</t>
    </r>
  </si>
  <si>
    <r>
      <t>18.</t>
    </r>
    <r>
      <rPr>
        <sz val="7"/>
        <color theme="1"/>
        <rFont val="Times New Roman"/>
        <family val="1"/>
      </rPr>
      <t xml:space="preserve">   </t>
    </r>
    <r>
      <rPr>
        <sz val="11"/>
        <color theme="1"/>
        <rFont val="Calibri"/>
        <family val="2"/>
        <scheme val="minor"/>
      </rPr>
      <t xml:space="preserve"> CO Shift converters</t>
    </r>
  </si>
  <si>
    <r>
      <t>9.</t>
    </r>
    <r>
      <rPr>
        <sz val="7"/>
        <color theme="1"/>
        <rFont val="Times New Roman"/>
        <family val="1"/>
      </rPr>
      <t xml:space="preserve">       </t>
    </r>
    <r>
      <rPr>
        <sz val="11"/>
        <color theme="1"/>
        <rFont val="Calibri"/>
        <family val="2"/>
        <scheme val="minor"/>
      </rPr>
      <t>High pressure urea reactor, stripper   and carbamate condenser</t>
    </r>
  </si>
  <si>
    <t>Heading</t>
  </si>
  <si>
    <t>Reason ( Give a brief note separately)</t>
  </si>
  <si>
    <t>Maintenance ( Give a brief note separately)</t>
  </si>
  <si>
    <t>Operation restored ( Give a brief note separately)</t>
  </si>
  <si>
    <t>Duration of shut down ( From .. to)</t>
  </si>
  <si>
    <t>Details of failure / repair</t>
  </si>
  <si>
    <t>SEC for month of forced shut down</t>
  </si>
  <si>
    <t>Month of forced shut down</t>
  </si>
  <si>
    <t>Urea production during month of forced shut down</t>
  </si>
  <si>
    <t>Additional energy consumed ( Sr no 5.4 x Sr no 5.5)</t>
  </si>
  <si>
    <t>Gcal</t>
  </si>
  <si>
    <t>Annual urea production</t>
  </si>
  <si>
    <t>Un-productive energy due to forced shut down of plant</t>
  </si>
  <si>
    <t>List of Equipment for forced shut down and cold start up of the plant</t>
  </si>
  <si>
    <t>Excess energy consumption due to forced shut down / cold start up of plant</t>
  </si>
  <si>
    <t>Process licensor</t>
  </si>
  <si>
    <t>Procurement of Catalyst</t>
  </si>
  <si>
    <t xml:space="preserve"> ( New Charge)</t>
  </si>
  <si>
    <t>Supplier</t>
  </si>
  <si>
    <t xml:space="preserve">Trade name </t>
  </si>
  <si>
    <t>Code No</t>
  </si>
  <si>
    <t>Quantity</t>
  </si>
  <si>
    <t>I</t>
  </si>
  <si>
    <t>Volume</t>
  </si>
  <si>
    <t>m3</t>
  </si>
  <si>
    <t>ii</t>
  </si>
  <si>
    <t>Weight</t>
  </si>
  <si>
    <t xml:space="preserve"> ( Old Charge)</t>
  </si>
  <si>
    <t>Starting date/time</t>
  </si>
  <si>
    <t>Duration</t>
  </si>
  <si>
    <t>hours</t>
  </si>
  <si>
    <t>Excess energy consumption due to catalyst reduction</t>
  </si>
  <si>
    <t>Energy consumption on account of other reasons as declared by DC</t>
  </si>
  <si>
    <t>Maximum  limit</t>
  </si>
  <si>
    <t xml:space="preserve">Calculation of " Normalization Factor ( NF)" due to forced shut down  and subsequent cold start up </t>
  </si>
  <si>
    <t>Calculation of " Normalization Factor ( NF)" due to reduction of catalyst</t>
  </si>
  <si>
    <t>S=</t>
  </si>
  <si>
    <t>if naphtha is used as feed in startup</t>
  </si>
  <si>
    <t>if naphta is not used as feed in startup</t>
  </si>
  <si>
    <r>
      <t>N</t>
    </r>
    <r>
      <rPr>
        <vertAlign val="subscript"/>
        <sz val="12"/>
        <color theme="1"/>
        <rFont val="Calibri"/>
        <family val="2"/>
        <scheme val="minor"/>
      </rPr>
      <t>Feedc</t>
    </r>
    <r>
      <rPr>
        <sz val="12"/>
        <color theme="1"/>
        <rFont val="Calibri"/>
        <family val="2"/>
        <scheme val="minor"/>
      </rPr>
      <t>=</t>
    </r>
  </si>
  <si>
    <t>quantity of naphtha used as feed in MT.</t>
  </si>
  <si>
    <r>
      <t>N</t>
    </r>
    <r>
      <rPr>
        <vertAlign val="subscript"/>
        <sz val="12"/>
        <color theme="1"/>
        <rFont val="Calibri"/>
        <family val="2"/>
        <scheme val="minor"/>
      </rPr>
      <t>Fuelc</t>
    </r>
    <r>
      <rPr>
        <sz val="12"/>
        <color theme="1"/>
        <rFont val="Calibri"/>
        <family val="2"/>
        <scheme val="minor"/>
      </rPr>
      <t>=</t>
    </r>
  </si>
  <si>
    <t>quanity of naphtha/LSHS/FO used as fuel in MT.</t>
  </si>
  <si>
    <t>MMSCM</t>
  </si>
  <si>
    <t>Naphtha consumption</t>
  </si>
  <si>
    <r>
      <t>As feed ( N</t>
    </r>
    <r>
      <rPr>
        <vertAlign val="subscript"/>
        <sz val="12"/>
        <color theme="1"/>
        <rFont val="Calibri"/>
        <family val="2"/>
        <scheme val="minor"/>
      </rPr>
      <t>feed</t>
    </r>
    <r>
      <rPr>
        <sz val="12"/>
        <color theme="1"/>
        <rFont val="Calibri"/>
        <family val="2"/>
        <scheme val="minor"/>
      </rPr>
      <t>)</t>
    </r>
  </si>
  <si>
    <r>
      <t>As fuel  (N</t>
    </r>
    <r>
      <rPr>
        <vertAlign val="subscript"/>
        <sz val="12"/>
        <color theme="1"/>
        <rFont val="Calibri"/>
        <family val="2"/>
        <scheme val="minor"/>
      </rPr>
      <t>fuel</t>
    </r>
    <r>
      <rPr>
        <sz val="12"/>
        <color theme="1"/>
        <rFont val="Calibri"/>
        <family val="2"/>
        <scheme val="minor"/>
      </rPr>
      <t xml:space="preserve"> )</t>
    </r>
  </si>
  <si>
    <t>Energy consumption on account of other reasons as may be declared by DC</t>
  </si>
  <si>
    <t>Normalization factor on account of naphtha use</t>
  </si>
  <si>
    <t>Energy loss (Gcal/MT Urea) =</t>
  </si>
  <si>
    <t>(185*S + 0.625 * Nfeed + 0.443 * Nfuel) / urea production in MT</t>
  </si>
  <si>
    <t>Calculation of " Normalization Factor ( NF)" due to  use of naphtha</t>
  </si>
  <si>
    <t>Pre-requisites for Normalization</t>
  </si>
  <si>
    <t xml:space="preserve">Calculation of normalization factor </t>
  </si>
  <si>
    <t>MMSCMD</t>
  </si>
  <si>
    <t>Background</t>
  </si>
  <si>
    <t>Short fall in NG</t>
  </si>
  <si>
    <t>Details of shortage of gas with references ( Attach a separate note)</t>
  </si>
  <si>
    <t>Reasons for shortage of gas ( Attach a separeta note)</t>
  </si>
  <si>
    <t>Annual gas consumption</t>
  </si>
  <si>
    <t>Weighted NCV</t>
  </si>
  <si>
    <t>Kcal/SCM</t>
  </si>
  <si>
    <t>Total excess energy ( SEC) due to naphtha as fuel+feed</t>
  </si>
  <si>
    <t>Excess energy ( SEC) due to  naphtha as fuel</t>
  </si>
  <si>
    <t>Excess energy ( SEC) due to  naphtha as feed</t>
  </si>
  <si>
    <t>Difference in excess energy ( SEC) due to naphtha during assessment year.</t>
  </si>
  <si>
    <t>Documentation - Illustration</t>
  </si>
  <si>
    <t xml:space="preserve">Naphtha as fuel gives lower combustion efficiency.  </t>
  </si>
  <si>
    <t>(II)</t>
  </si>
  <si>
    <t>Llining of pre-reformer</t>
  </si>
  <si>
    <t>(iii)</t>
  </si>
  <si>
    <t xml:space="preserve">Naphtha as feed consumed relatively higher energy.  </t>
  </si>
  <si>
    <t>DCs shall furnish detailed and convincing reasons with supporting</t>
  </si>
  <si>
    <t>documents for use of naphtha due to non-availability of gas on</t>
  </si>
  <si>
    <t>account of factors, beyond their control.</t>
  </si>
  <si>
    <t>As per directives from Department of Fertilizers, Govt. of India, use</t>
  </si>
  <si>
    <t>of naphtha is to be discontinued in phased manner. As such, use of</t>
  </si>
  <si>
    <t>naphtha is not foreseen. However, provision is being made, in case</t>
  </si>
  <si>
    <t>naphtha has to be used due to shortage of natural gas.</t>
  </si>
  <si>
    <t>In case of use of naphtha, DC will furnish details regarding non-availability of gas leading to use of naphtha.</t>
  </si>
  <si>
    <t>Since naphtha may be used only intermittently , the data is to be filled-in on monthly basis, for the months naphtha has been used.</t>
  </si>
  <si>
    <t>The formula for calculating energy loss on account of using naphtha is furnished below:_</t>
  </si>
  <si>
    <t>Where :</t>
  </si>
  <si>
    <t>Intermittent use of part naphtha  along with natural gas, results in additional  energy consumption  in following areas :_</t>
  </si>
  <si>
    <t xml:space="preserve">Start up of naphtha handling facilities. </t>
  </si>
  <si>
    <t>7.4.3</t>
  </si>
  <si>
    <t>Fresh catalyst is in oxidized form and needs to be reduced with</t>
  </si>
  <si>
    <t>In case of ammonia synthesis catalyst, in the older plants, oxidized</t>
  </si>
  <si>
    <t>supply of fresh catalysts.</t>
  </si>
  <si>
    <t>Year in which the catalyst were last changed along with copies of</t>
  </si>
  <si>
    <t>Copies of purchase orders placed  with the vendors for</t>
  </si>
  <si>
    <t>synthesis gas, wherein hydrogen reacts with oxygen and gets</t>
  </si>
  <si>
    <t>converted into water. Whole plant is operated without producing</t>
  </si>
  <si>
    <t>form of the catalyst is used which takes around 4-5 days for</t>
  </si>
  <si>
    <t>reduction, causing corresponding un-productive energy</t>
  </si>
  <si>
    <t>consumption. Presently, " Pre-reduced catalyst" is also used which</t>
  </si>
  <si>
    <t>is expensive but takes around 48 hours for reduction, thus</t>
  </si>
  <si>
    <t>consuming lesser un-productive energy. This aspect should be</t>
  </si>
  <si>
    <t>taken care , while calculating normalization factor.</t>
  </si>
  <si>
    <t>To be filled-in separately for each catalyst</t>
  </si>
  <si>
    <t>Adjustment shall be allowed on the basis of actual plant data, subject to a maximum of 0.04 Gcal/MT of urea.</t>
  </si>
  <si>
    <t>Name of Reactor/catalyst</t>
  </si>
  <si>
    <t>Ammonia production during month of catalyst reduction</t>
  </si>
  <si>
    <t>SEC for the best operating months ( Weighted aversge)</t>
  </si>
  <si>
    <t>Excess energy due to catalyst reduction (Sr no 6.2- Sr no 6.3)</t>
  </si>
  <si>
    <t>Net excess energy ( SEC) on account of catalyst reduction only (Sr no 6.4 -  Sr no 6.5)</t>
  </si>
  <si>
    <t>Total excess energy during the month of catalyst reduction           (Sr no 6.6 x  Sr no 6.7)</t>
  </si>
  <si>
    <t>MT/Year</t>
  </si>
  <si>
    <t xml:space="preserve">Excess energy ( SEC) on yearly basis.  ( Sr no 6.8 / Sr no 7.1)                                   </t>
  </si>
  <si>
    <t>Calculation of Normalization factor ( NF)</t>
  </si>
  <si>
    <t>Achieved SEC during  month of catalyst reduction</t>
  </si>
  <si>
    <t>Month of catalyst reduction</t>
  </si>
  <si>
    <t>useful ammonia product at 60-80% load for around 48 to 120</t>
  </si>
  <si>
    <t>Thus, replacement / reduction of ammonia synthesis and CO shift</t>
  </si>
  <si>
    <t xml:space="preserve">hours, depending upon type and quantity of catalyst. </t>
  </si>
  <si>
    <t xml:space="preserve">catalysts consumes large amount of unproductive energy. </t>
  </si>
  <si>
    <t>Therefore, normalization due to replacement / reduction of these</t>
  </si>
  <si>
    <t xml:space="preserve">catalysts will be allowed.  </t>
  </si>
  <si>
    <t>Normalization on this account will be considered subject to</t>
  </si>
  <si>
    <t>certification by DCs and furnishing to BEE information as follows:</t>
  </si>
  <si>
    <t>purchase order for exhausted catalyst charge.</t>
  </si>
  <si>
    <t>Time taken in commissioning of catalyst , facts and figures clearly</t>
  </si>
  <si>
    <t>indicating and quantifying rise in the energy consumption of plant</t>
  </si>
  <si>
    <t xml:space="preserve">due to the replacement of this catalyst. </t>
  </si>
  <si>
    <t>Any other information</t>
  </si>
  <si>
    <t>Completion  date / time</t>
  </si>
  <si>
    <t>Calculation of excess energy  ( SEC ) per  MT of urea on annual basis</t>
  </si>
  <si>
    <t>Calculation of " Normalization Factor ( NF)" due to  deterioration in quality of coal</t>
  </si>
  <si>
    <t>Pre-Requisites for Normalization</t>
  </si>
  <si>
    <t>Boiler Efficiency = 92.5 – ((50*A+630(M+9H)) / GCV.</t>
  </si>
  <si>
    <t>Where</t>
  </si>
  <si>
    <t>A = Ash content of coal (%)</t>
  </si>
  <si>
    <t>M = Moisture (%)</t>
  </si>
  <si>
    <t>H = Hydrogen ( %)</t>
  </si>
  <si>
    <t>GCV = Kcal/Kg</t>
  </si>
  <si>
    <t>efficiency due to poor quality of coal shall be compensated.</t>
  </si>
  <si>
    <t>thus, affecting boiler efficiency adversely. The reduction in boiler</t>
  </si>
  <si>
    <t xml:space="preserve">The quality of indigenous coal has been deteriorating gradually, </t>
  </si>
  <si>
    <t>Annual coal consumption</t>
  </si>
  <si>
    <t xml:space="preserve">GCV </t>
  </si>
  <si>
    <t>( Weighted average)</t>
  </si>
  <si>
    <t>Kcal/kg</t>
  </si>
  <si>
    <t>NCV</t>
  </si>
  <si>
    <t>Proximate  analysis</t>
  </si>
  <si>
    <t>Fixed carbon</t>
  </si>
  <si>
    <t>Volatile matter</t>
  </si>
  <si>
    <t>Moisture</t>
  </si>
  <si>
    <t>Ash</t>
  </si>
  <si>
    <t>Ultimate analysis</t>
  </si>
  <si>
    <t>Carbon</t>
  </si>
  <si>
    <t>Hydrogen</t>
  </si>
  <si>
    <t>Sulphur</t>
  </si>
  <si>
    <t>Nitrogen</t>
  </si>
  <si>
    <t>Oxygen</t>
  </si>
  <si>
    <t>Calorific value</t>
  </si>
  <si>
    <t>Coal analysis</t>
  </si>
  <si>
    <t>(v)</t>
  </si>
  <si>
    <t>Normalization factor on account of deterioration in coal quality.</t>
  </si>
  <si>
    <t xml:space="preserve">  = Energy of Coal per MT of Urea in Target Year, Gcal/MT of Urea * (Boiler Efficiency in Base Year – Boiler Efficiency in target year) / Boiler efficiency in target year.</t>
  </si>
  <si>
    <t xml:space="preserve"> Additional Energy Consumption ( SEC), Gcal/MT of Urea </t>
  </si>
  <si>
    <t>Gcal/year</t>
  </si>
  <si>
    <t>92.5-((50*S24+630*(S23+9*S28))/S15)</t>
  </si>
  <si>
    <t>S12*S17</t>
  </si>
  <si>
    <t xml:space="preserve">Boiler efficiency Calculation </t>
  </si>
  <si>
    <t>Average boiler efficiency for each year</t>
  </si>
  <si>
    <t xml:space="preserve"> Additional Energy Consumption due to deterioration in coal quality </t>
  </si>
  <si>
    <t>Specific coal energy consumption per MT of urea</t>
  </si>
  <si>
    <t>Total coal energy                             Coal  MT/yr  x GCV</t>
  </si>
  <si>
    <t>Coal energy consumption</t>
  </si>
  <si>
    <t>Quality of coal affects boiler efficiency, which shall be calculated</t>
  </si>
  <si>
    <t>by following empirical formula :-</t>
  </si>
  <si>
    <t>Boiler efficiency shall be converted into specific energy</t>
  </si>
  <si>
    <t>consumption, as follows :-</t>
  </si>
  <si>
    <t>In case of sudden  failure of a critical equipment as per the list given</t>
  </si>
  <si>
    <t>Calculation of normalization factor</t>
  </si>
  <si>
    <t>The Designated Consumer (DC)  shall furnished a detailed report on failure of such equipment and its impact on energy consumption.</t>
  </si>
  <si>
    <t xml:space="preserve">The Designated Consumer shall declare with back up documentation, what portion of such unproductive consumption during the month is due to cold shutdown and startup activity. </t>
  </si>
  <si>
    <t xml:space="preserve">This actual energy loss due to shut down and cold startup in Gcal/MT of Urea  shall be compensated, subject to maximum of 0.03 Gcal/MT of Urea. </t>
  </si>
  <si>
    <t>Energy loss during the month(/s) for which additional cold startup is being claimed shall be calculated as follows:-</t>
  </si>
  <si>
    <t xml:space="preserve">  This Energy Loss shall be divided by Annual Urea Production to identify total unproductive loss in a month. </t>
  </si>
  <si>
    <t xml:space="preserve">Impact on  SEC / urea yearly ( Sr no 5.6 / Sr no 5.7)                                   </t>
  </si>
  <si>
    <t>Documentation  -  Illustration</t>
  </si>
  <si>
    <t xml:space="preserve">The Designated Consumer shall declare what portion of such unproductive consumption during the month is due to cold shutdown and startup activity. </t>
  </si>
  <si>
    <t>S. No</t>
  </si>
  <si>
    <t>Particulars</t>
  </si>
  <si>
    <t>A</t>
  </si>
  <si>
    <t>Production and capacity utilization details</t>
  </si>
  <si>
    <t>Product ( Ammonia)</t>
  </si>
  <si>
    <t>Name</t>
  </si>
  <si>
    <t>Tonnes</t>
  </si>
  <si>
    <t xml:space="preserve">Re-vamp capacity </t>
  </si>
  <si>
    <t>Year of revamp</t>
  </si>
  <si>
    <t>(vi)</t>
  </si>
  <si>
    <t>Actual Production</t>
  </si>
  <si>
    <t>A.2</t>
  </si>
  <si>
    <t>Product ( Urea)</t>
  </si>
  <si>
    <t>(vii)</t>
  </si>
  <si>
    <t>Capacity Utilization (%)</t>
  </si>
  <si>
    <t>A.3</t>
  </si>
  <si>
    <t>Product3</t>
  </si>
  <si>
    <t>Installed Capacity</t>
  </si>
  <si>
    <t>A.4</t>
  </si>
  <si>
    <t>Product4</t>
  </si>
  <si>
    <t>A.5</t>
  </si>
  <si>
    <t>Product5</t>
  </si>
  <si>
    <t>A.6</t>
  </si>
  <si>
    <t>Product6</t>
  </si>
  <si>
    <t>A.7</t>
  </si>
  <si>
    <t>Product7</t>
  </si>
  <si>
    <t>B</t>
  </si>
  <si>
    <t>Electricity Consumption and cost</t>
  </si>
  <si>
    <t>B.1</t>
  </si>
  <si>
    <t>Source of Purchase ( Grid / others)</t>
  </si>
  <si>
    <t>Total quantity purchased</t>
  </si>
  <si>
    <t>Lakh kWh</t>
  </si>
  <si>
    <t xml:space="preserve">Total Cost </t>
  </si>
  <si>
    <t>Rs. Lakh/ year</t>
  </si>
  <si>
    <t xml:space="preserve">Plant Connected Load </t>
  </si>
  <si>
    <t>MW</t>
  </si>
  <si>
    <t>Contract demand with utility</t>
  </si>
  <si>
    <t>MVA</t>
  </si>
  <si>
    <t>Plant Running Hours</t>
  </si>
  <si>
    <t>Total purchased electrical energy  allocated for urea production</t>
  </si>
  <si>
    <t>TOE</t>
  </si>
  <si>
    <t>B.2</t>
  </si>
  <si>
    <t>B.2.1</t>
  </si>
  <si>
    <t>Through DG Set</t>
  </si>
  <si>
    <t>B.2.1.1</t>
  </si>
  <si>
    <t>Power generation</t>
  </si>
  <si>
    <t>Annual power generation ( Gross)</t>
  </si>
  <si>
    <t xml:space="preserve">Auxilliary Power Consumption </t>
  </si>
  <si>
    <t>Annual power generation (Net)</t>
  </si>
  <si>
    <t xml:space="preserve">Total annual fuel cost </t>
  </si>
  <si>
    <t>Rs. Lakh</t>
  </si>
  <si>
    <t xml:space="preserve">Cost of Electricity </t>
  </si>
  <si>
    <t>Rs./ kWh</t>
  </si>
  <si>
    <t>f</t>
  </si>
  <si>
    <t>Heat rate of power</t>
  </si>
  <si>
    <t>Kcal/ kWh</t>
  </si>
  <si>
    <t>g</t>
  </si>
  <si>
    <t>power allocated for urea production</t>
  </si>
  <si>
    <t>B.2.1.2</t>
  </si>
  <si>
    <t>Fuel (Specify))</t>
  </si>
  <si>
    <t xml:space="preserve">Gross calorific value of Fuel </t>
  </si>
  <si>
    <t>kCal/ kg</t>
  </si>
  <si>
    <t>Net calorific value of fuel</t>
  </si>
  <si>
    <t xml:space="preserve">Annual fuel consumption </t>
  </si>
  <si>
    <t>kL</t>
  </si>
  <si>
    <t>Average Density of Fuel</t>
  </si>
  <si>
    <t>kg/litre</t>
  </si>
  <si>
    <t>B.2.1.3</t>
  </si>
  <si>
    <t xml:space="preserve">DG Set  electricity energy consumed for urea production
(TOE) </t>
  </si>
  <si>
    <t>B.2.2</t>
  </si>
  <si>
    <t xml:space="preserve">Through Steam turbine/ generator   </t>
  </si>
  <si>
    <t>B.2.2.1</t>
  </si>
  <si>
    <t>B.2.2.2</t>
  </si>
  <si>
    <t>B.2.2.2.1</t>
  </si>
  <si>
    <t xml:space="preserve"> Coal  (Imported )</t>
  </si>
  <si>
    <t>Annual fuel consumption ( Kg)</t>
  </si>
  <si>
    <t>B.2.2.2.2</t>
  </si>
  <si>
    <t>B.2.2.3</t>
  </si>
  <si>
    <t>B.2.2.4</t>
  </si>
  <si>
    <t>Energy allocated to urea plant ( TOE)</t>
  </si>
  <si>
    <t>B.2.3</t>
  </si>
  <si>
    <t>Through Gas turbine</t>
  </si>
  <si>
    <t>B.2.3.1</t>
  </si>
  <si>
    <t>B.2.3.2</t>
  </si>
  <si>
    <t>Fuel used ( specify)</t>
  </si>
  <si>
    <t>B.2.3.2.1</t>
  </si>
  <si>
    <t>Fuel (NG)</t>
  </si>
  <si>
    <t xml:space="preserve">Gross calorific value </t>
  </si>
  <si>
    <t>kCal/ SCM</t>
  </si>
  <si>
    <t xml:space="preserve">Net calorific value </t>
  </si>
  <si>
    <t>Lakh SCM</t>
  </si>
  <si>
    <t>h</t>
  </si>
  <si>
    <t>B.2.3.3</t>
  </si>
  <si>
    <t>Fuel (Others)</t>
  </si>
  <si>
    <t>Name of Fuel used</t>
  </si>
  <si>
    <t>B.2.3.4</t>
  </si>
  <si>
    <t>Total Electricity Generated through Gas Turbine</t>
  </si>
  <si>
    <t>B.2.4</t>
  </si>
  <si>
    <t>B.2.5</t>
  </si>
  <si>
    <t>Electricity  exported to Grid/others</t>
  </si>
  <si>
    <t>Million kCal</t>
  </si>
  <si>
    <t>C</t>
  </si>
  <si>
    <t>Overall energy  inputs at battery limit of entire complex</t>
  </si>
  <si>
    <t xml:space="preserve">Solid Fuel Consumption </t>
  </si>
  <si>
    <t>Type of Coal used</t>
  </si>
  <si>
    <t>C.1.1</t>
  </si>
  <si>
    <t>Coal (Indigenous, specify)</t>
  </si>
  <si>
    <t xml:space="preserve">Net calorific value (Average) </t>
  </si>
  <si>
    <t>Quantity balance in store</t>
  </si>
  <si>
    <t xml:space="preserve">Quantity purchased </t>
  </si>
  <si>
    <t>Total Quantity Consumed</t>
  </si>
  <si>
    <t>g.i</t>
  </si>
  <si>
    <t>Quantity used for power generation</t>
  </si>
  <si>
    <t>g.ii</t>
  </si>
  <si>
    <t>Quantity used for raw material</t>
  </si>
  <si>
    <t>g.iii</t>
  </si>
  <si>
    <t>Quantity used for process heating</t>
  </si>
  <si>
    <t>C.1.2</t>
  </si>
  <si>
    <t>Coal (Imported)</t>
  </si>
  <si>
    <t>C.1.3</t>
  </si>
  <si>
    <t>Total energy consumption ( Gross)of solid fuel</t>
  </si>
  <si>
    <t>C.1.4</t>
  </si>
  <si>
    <t>Total energy ( Net )of solid fuel  allocated for urea production</t>
  </si>
  <si>
    <t>D</t>
  </si>
  <si>
    <t>Liquid Fuel Consumption</t>
  </si>
  <si>
    <t>D.1</t>
  </si>
  <si>
    <t>Furnace Oil</t>
  </si>
  <si>
    <t>Gross calorific value (Yearly Average)</t>
  </si>
  <si>
    <t>Net calorific value (Yearly Average)</t>
  </si>
  <si>
    <t>Quantity purchased</t>
  </si>
  <si>
    <t xml:space="preserve">Average Density </t>
  </si>
  <si>
    <t>kg/ltr</t>
  </si>
  <si>
    <t>D.2</t>
  </si>
  <si>
    <t>Low Sulphur Heavy Stock (LSHS)</t>
  </si>
  <si>
    <t>D.3</t>
  </si>
  <si>
    <t>High Sulphur Heavy Stock (HSHS)</t>
  </si>
  <si>
    <t>D.4</t>
  </si>
  <si>
    <t>Others</t>
  </si>
  <si>
    <t>Average Density</t>
  </si>
  <si>
    <t>D.5</t>
  </si>
  <si>
    <t>Total energy consumption ( Gross)of liquid fuel</t>
  </si>
  <si>
    <t>D.6</t>
  </si>
  <si>
    <t>Total energy of liquid fuel allocated for urea production</t>
  </si>
  <si>
    <t>E</t>
  </si>
  <si>
    <t>Gaseous Fuel</t>
  </si>
  <si>
    <t>E.1</t>
  </si>
  <si>
    <t xml:space="preserve"> Natural Gas (Total)</t>
  </si>
  <si>
    <t xml:space="preserve">Gross calorific value (Yearly Average) </t>
  </si>
  <si>
    <t>kCal/SCM</t>
  </si>
  <si>
    <t xml:space="preserve">Net calorific value (Yearly Average) </t>
  </si>
  <si>
    <t>d(i)</t>
  </si>
  <si>
    <t>d(ii)</t>
  </si>
  <si>
    <t>Quantity used as raw material</t>
  </si>
  <si>
    <t>d(iii)</t>
  </si>
  <si>
    <t>Quantity used for transportation, if any</t>
  </si>
  <si>
    <t>d(iv)</t>
  </si>
  <si>
    <t>E.2</t>
  </si>
  <si>
    <t>Naphtha ( used as an alternative to NG)</t>
  </si>
  <si>
    <t>e(i)</t>
  </si>
  <si>
    <t>e(ii)</t>
  </si>
  <si>
    <t>Quantity used as raw material, if any</t>
  </si>
  <si>
    <t>e(iii)</t>
  </si>
  <si>
    <t>E.3</t>
  </si>
  <si>
    <t>TOTAL ENERGY_GAS FUEL FOR UREA PRODUCTION</t>
  </si>
  <si>
    <t>F</t>
  </si>
  <si>
    <t>Waste generated in the plant and used as fuel</t>
  </si>
  <si>
    <t>F.1</t>
  </si>
  <si>
    <t>Solid Waste</t>
  </si>
  <si>
    <t>Name of Solid Waste</t>
  </si>
  <si>
    <t xml:space="preserve">Quantity Generated </t>
  </si>
  <si>
    <t>Quantity consumed</t>
  </si>
  <si>
    <t>F.2</t>
  </si>
  <si>
    <t>Liquid Waste</t>
  </si>
  <si>
    <t>Name of Liquid Waste</t>
  </si>
  <si>
    <t>F.3</t>
  </si>
  <si>
    <t>Gaseous Waste</t>
  </si>
  <si>
    <t>Name of gas Waste</t>
  </si>
  <si>
    <t>F.4</t>
  </si>
  <si>
    <t>Name of the Fuel</t>
  </si>
  <si>
    <t>Type of Fuel</t>
  </si>
  <si>
    <t xml:space="preserve">Average Gross calorific value (Yearly Average) </t>
  </si>
  <si>
    <t xml:space="preserve">Annual cost of the others source </t>
  </si>
  <si>
    <t>F.5</t>
  </si>
  <si>
    <t>TOTAL ENERGY_WASTE HEAT</t>
  </si>
  <si>
    <t>Re-assessed capacity</t>
  </si>
  <si>
    <t>i</t>
  </si>
  <si>
    <t>Kcal/Kg</t>
  </si>
  <si>
    <t>Sp gravity</t>
  </si>
  <si>
    <t>gm/lit</t>
  </si>
  <si>
    <t>1.b</t>
  </si>
  <si>
    <t>Production</t>
  </si>
  <si>
    <t>1.c</t>
  </si>
  <si>
    <t>Actual Stream Days</t>
  </si>
  <si>
    <t>Days</t>
  </si>
  <si>
    <t>2 (i)</t>
  </si>
  <si>
    <t>Input As</t>
  </si>
  <si>
    <t>Feed NG</t>
  </si>
  <si>
    <t>2(ii)</t>
  </si>
  <si>
    <t>Fuel NG</t>
  </si>
  <si>
    <t>2(iii)</t>
  </si>
  <si>
    <t xml:space="preserve">Feed Naptha </t>
  </si>
  <si>
    <t>2(iv)</t>
  </si>
  <si>
    <t xml:space="preserve">Fuel  Naptha </t>
  </si>
  <si>
    <t>2(v)</t>
  </si>
  <si>
    <t>NG Feed NCV</t>
  </si>
  <si>
    <t>2(vi)</t>
  </si>
  <si>
    <t>NG Fuel NCV</t>
  </si>
  <si>
    <t>2(vii)</t>
  </si>
  <si>
    <t>Naptha Feed  NCV</t>
  </si>
  <si>
    <t>2(viii)</t>
  </si>
  <si>
    <t>Naptha Fuel NCV</t>
  </si>
  <si>
    <t>2(ix)</t>
  </si>
  <si>
    <t>Total Steam Import (2)</t>
  </si>
  <si>
    <t>2(ix) a</t>
  </si>
  <si>
    <t>Pressure of steam</t>
  </si>
  <si>
    <t>Kg/cm2g</t>
  </si>
  <si>
    <t>2(ix) b</t>
  </si>
  <si>
    <t>Temperature of steam</t>
  </si>
  <si>
    <t>OC</t>
  </si>
  <si>
    <t>2(ix) c</t>
  </si>
  <si>
    <t>2(ix) d</t>
  </si>
  <si>
    <t>Steam Import</t>
  </si>
  <si>
    <t>2(ix) e</t>
  </si>
  <si>
    <t>2(ix) f</t>
  </si>
  <si>
    <t>2(ix) g</t>
  </si>
  <si>
    <t>Net Steam Import</t>
  </si>
  <si>
    <t>2(x)</t>
  </si>
  <si>
    <t xml:space="preserve">Total Power (1)  </t>
  </si>
  <si>
    <t>2(x) a</t>
  </si>
  <si>
    <t>Generated power (allocated to ammonia)</t>
  </si>
  <si>
    <t>MWH</t>
  </si>
  <si>
    <t>2(x) b</t>
  </si>
  <si>
    <t>Purchased power( allocated to ammonia)</t>
  </si>
  <si>
    <t>2(x) c</t>
  </si>
  <si>
    <t>Power from any other source</t>
  </si>
  <si>
    <t>2(x) d</t>
  </si>
  <si>
    <t>Total power (allocated to ammonia)</t>
  </si>
  <si>
    <t>2(x)e</t>
  </si>
  <si>
    <t>2(x) f</t>
  </si>
  <si>
    <t>Conversion factor for purchased Power</t>
  </si>
  <si>
    <t>3 (i)</t>
  </si>
  <si>
    <t>Feed</t>
  </si>
  <si>
    <t>3(ii)</t>
  </si>
  <si>
    <t>Fuel</t>
  </si>
  <si>
    <t>3(iii)</t>
  </si>
  <si>
    <t>Total Power Captive</t>
  </si>
  <si>
    <t>3)iv)</t>
  </si>
  <si>
    <t>Total Steam</t>
  </si>
  <si>
    <t>3(v)</t>
  </si>
  <si>
    <t>Total Power Purchased</t>
  </si>
  <si>
    <t>3(vi)</t>
  </si>
  <si>
    <t>Credits / debits</t>
  </si>
  <si>
    <t>3(vii)</t>
  </si>
  <si>
    <t>DM Water / Boiler feed water</t>
  </si>
  <si>
    <t>3(viii)</t>
  </si>
  <si>
    <t>Steam condensate</t>
  </si>
  <si>
    <t>3(ix)</t>
  </si>
  <si>
    <t>Any other</t>
  </si>
  <si>
    <t>3(x)</t>
  </si>
  <si>
    <t>Total Energy/MT of NH3</t>
  </si>
  <si>
    <t>Actual</t>
  </si>
  <si>
    <t>Urea Plant</t>
  </si>
  <si>
    <t>1.d</t>
  </si>
  <si>
    <t>Capacity Utilisation</t>
  </si>
  <si>
    <t>Steam</t>
  </si>
  <si>
    <t>2(i) a</t>
  </si>
  <si>
    <t>2(i) b</t>
  </si>
  <si>
    <t>2(i) c</t>
  </si>
  <si>
    <t>2(i) d</t>
  </si>
  <si>
    <t>2 ( i) e</t>
  </si>
  <si>
    <t>2 ( i) f</t>
  </si>
  <si>
    <t>2(ii) a</t>
  </si>
  <si>
    <t>2(ii) b</t>
  </si>
  <si>
    <t>2(ii) c</t>
  </si>
  <si>
    <t>2(ii) d</t>
  </si>
  <si>
    <t>Total</t>
  </si>
  <si>
    <t xml:space="preserve">Total Power (3) </t>
  </si>
  <si>
    <t>2(iii) a</t>
  </si>
  <si>
    <t>2(iii) b</t>
  </si>
  <si>
    <t>2(iii) c</t>
  </si>
  <si>
    <t>2(iii) d</t>
  </si>
  <si>
    <t>4 (i)</t>
  </si>
  <si>
    <t>Specific Consumption</t>
  </si>
  <si>
    <t>MT/MT</t>
  </si>
  <si>
    <t>5 (i)</t>
  </si>
  <si>
    <t>5(ii)</t>
  </si>
  <si>
    <t>5(iii)</t>
  </si>
  <si>
    <t>5(iv)</t>
  </si>
  <si>
    <t>Total Purchased Power</t>
  </si>
  <si>
    <t>5(v)</t>
  </si>
  <si>
    <t>5(vi)</t>
  </si>
  <si>
    <t>5(vii)</t>
  </si>
  <si>
    <t>5(viii)</t>
  </si>
  <si>
    <t>Total Energy per MT of Urea</t>
  </si>
  <si>
    <t>6(i)</t>
  </si>
  <si>
    <t>6(ii)</t>
  </si>
  <si>
    <t xml:space="preserve">(1) Amonia Plants and allocated share of  amonia in DM , SPG, Cooling Towers, Effluent trearment facilities , etc. Data to be based on the TOP data .
</t>
  </si>
  <si>
    <t>(2) Total steam import includes direct import  and steam used in cooling Towera etc.</t>
  </si>
  <si>
    <t>(3) Urea  Plants and allocated shares of urea in offsite facilities as per TOP data.</t>
  </si>
  <si>
    <t>Notes :</t>
  </si>
  <si>
    <t>Block diagram showing total energy input at Plant BL as well as allocated for urea production. Also shows credit / debit of energy at intermediate stages</t>
  </si>
  <si>
    <t>for verification of specific energy consumption ( SEC).</t>
  </si>
  <si>
    <t>Plant Battery Limit ( Ammonia / Urea complex)</t>
  </si>
  <si>
    <t>Energy</t>
  </si>
  <si>
    <t>input at</t>
  </si>
  <si>
    <t xml:space="preserve">allocated for </t>
  </si>
  <si>
    <t>SM3</t>
  </si>
  <si>
    <t>Plant  BL</t>
  </si>
  <si>
    <t>urea production</t>
  </si>
  <si>
    <t>CPP &amp;</t>
  </si>
  <si>
    <t>HRU</t>
  </si>
  <si>
    <t>MT / year</t>
  </si>
  <si>
    <t>Generated power</t>
  </si>
  <si>
    <t>Generated steam</t>
  </si>
  <si>
    <t>Any other product or</t>
  </si>
  <si>
    <t>Grid power</t>
  </si>
  <si>
    <t>MWh / year</t>
  </si>
  <si>
    <t>energy content of the same</t>
  </si>
  <si>
    <t>Steam at diff pressures levels</t>
  </si>
  <si>
    <t xml:space="preserve">   MT, K cal / Kg</t>
  </si>
  <si>
    <t>Gaseous Fuels</t>
  </si>
  <si>
    <t>Urea product</t>
  </si>
  <si>
    <t>Feed stock</t>
  </si>
  <si>
    <t>Plant</t>
  </si>
  <si>
    <t>Liquid fuels</t>
  </si>
  <si>
    <t>KL / year, density</t>
  </si>
  <si>
    <t>Ammonia  G cal / MT</t>
  </si>
  <si>
    <t>Export / import</t>
  </si>
  <si>
    <t>(If any)</t>
  </si>
  <si>
    <t>( If any)</t>
  </si>
  <si>
    <t xml:space="preserve">Other Utilities </t>
  </si>
  <si>
    <t>&amp; Misc.</t>
  </si>
  <si>
    <t xml:space="preserve"> Kkcal / kWh</t>
  </si>
  <si>
    <t>Following criteria shall be adopted :-</t>
  </si>
  <si>
    <t xml:space="preserve">Calculation of  normalization factor </t>
  </si>
  <si>
    <t xml:space="preserve"> Lower capacity utilization due to Factors like shortage of raw materials (mainly the gas), decline in market demand, change in Govt. policy etc which  are beyond the control of DCs, may force the plant to be operated at lower capacity, thus causing adverse effect on energy consumption. In such cases, normalization shall be allowed.   </t>
  </si>
  <si>
    <t xml:space="preserve">DCs shall furnish detailed and convincing reasons with supporting documents for reduction in capacity utilization, due to factors, beyond their control. </t>
  </si>
  <si>
    <t>a                  b                 c</t>
  </si>
  <si>
    <t xml:space="preserve">Subsequent to the baseline year i.e.2007-10, some DCs have carried out major revamp of their plant for capacity enhancement in line with New Investment Policy for urea notified by the Govt. </t>
  </si>
  <si>
    <t>Cost of this audit will be borne by the DC. Check tests of such verification could be carried at by BEE, if needed.</t>
  </si>
  <si>
    <t xml:space="preserve">Some  plants are  having ammonia plant capacity higher than the quantity of ammonia required for urea production and thus, diverting surplus ammonia  for other products or  sales.In such cases, due to Govt.  policy and/or market conditions, ammonia plant is operated at lower capacity,even if the urea plant is operated at full load; Normalization shall  be allowed.  </t>
  </si>
  <si>
    <t xml:space="preserve">In case of ammonia / urea complex having ammonia capacity matching with urea production, capacity utilization of urea plant shall be considered. </t>
  </si>
  <si>
    <t>Based on the operating data collected from plants at 100%, 85% and 70% plant load average normalization factor works out to be 0.02 Gcal per MT of urea normalization factor works out to be 0.02 Gcal per MT of urea per percentage reduction in plant load below 95% up to 70%.</t>
  </si>
  <si>
    <t xml:space="preserve"> Maximum permissible value ( Gcal/ MT urea) = (95 - % Capacity utilization) * 0.02.</t>
  </si>
  <si>
    <t xml:space="preserve">No compensation shall be allowed if the capacity utilization of urea plant is &gt; 95%.         Compensation shall be allowed for capacity utilization between 70-95%.                                Below 70%, the data shall be discarded. </t>
  </si>
  <si>
    <t>Other major condition are as follows :-</t>
  </si>
  <si>
    <t>Technical Annexure</t>
  </si>
  <si>
    <t>Data to be filled-in</t>
  </si>
  <si>
    <t>Kcal / Kg</t>
  </si>
  <si>
    <t xml:space="preserve">KL / year, </t>
  </si>
  <si>
    <t>herein or external factors (as notified), ammonia plant undergoes a forced shut down. Restarting the plant from cold conditions</t>
  </si>
  <si>
    <t>forced shut down and consequently Cold start up which  , consumes unproductive energy and shall be normalized.</t>
  </si>
  <si>
    <t xml:space="preserve">(Monthly Energy per MT of Ammonia during the month – Weighted Average Monthly Energy Consumption for the months with 100% on-stream days) X Monthly Ammonia production for the month of Startup. stream days) X Monthly Ammonia production for the month of Startup. </t>
  </si>
  <si>
    <t>Difference     ( Sr no 5.2 - Sr no 5.3)</t>
  </si>
  <si>
    <t xml:space="preserve">(Monthly Energy per MT of Ammonia during the month – Weighted Average Monthly Energy Consumption per MT Ammonia for the months with 100% on-stream days) X Monthly Ammonia production for the month of Startup. </t>
  </si>
  <si>
    <t>I ……………………………………………….........................…..solemnly declare that to the best of my knowledge the information given in the above summary sheet of  Form 1 there to is correct and complete. I also declare that the information provided for Normalisation is limited to external factors only.</t>
  </si>
  <si>
    <t>Date:</t>
  </si>
  <si>
    <t>Place:</t>
  </si>
  <si>
    <t xml:space="preserve">                 Organisation Seal</t>
  </si>
  <si>
    <t xml:space="preserve">Name of the Unit </t>
  </si>
  <si>
    <t>Form-1</t>
  </si>
  <si>
    <t>Details of information regarding Total Energy Consumed and Specific Energy Consumption Per unit of Production</t>
  </si>
  <si>
    <t>(See Rule 3)</t>
  </si>
  <si>
    <t xml:space="preserve">A. </t>
  </si>
  <si>
    <t>General Details</t>
  </si>
  <si>
    <t>Name of the Unit</t>
  </si>
  <si>
    <t>2. (i)</t>
  </si>
  <si>
    <t>Year of Establishment</t>
  </si>
  <si>
    <t>2. (ii)</t>
  </si>
  <si>
    <t>ii) Date on which the user of energy is specified as Designated consumer (DC) (Clause (e) of sec 14)</t>
  </si>
  <si>
    <t xml:space="preserve">Sector and Sub-Sector in which the Designated Consumer falls  </t>
  </si>
  <si>
    <t>Sector</t>
  </si>
  <si>
    <t>Sub-Sector</t>
  </si>
  <si>
    <t>4. (i)</t>
  </si>
  <si>
    <r>
      <t xml:space="preserve">Complete address of DCs Unit location </t>
    </r>
    <r>
      <rPr>
        <b/>
        <sz val="11"/>
        <color indexed="8"/>
        <rFont val="Arial"/>
        <family val="2"/>
      </rPr>
      <t>(including Chief Executive's name &amp; designation)</t>
    </r>
    <r>
      <rPr>
        <sz val="11"/>
        <color indexed="8"/>
        <rFont val="Arial"/>
        <family val="2"/>
      </rPr>
      <t xml:space="preserve"> with mobile, telephone, fax nos. &amp; e-mail.</t>
    </r>
  </si>
  <si>
    <t>Registered Office address with telephone, fax nos. &amp; e-mail</t>
  </si>
  <si>
    <t xml:space="preserve">Energy Manager's Name, designation, Registration No., Address, Mobile, Telephone, Fax nos. &amp; e-mail </t>
  </si>
  <si>
    <t xml:space="preserve">B. </t>
  </si>
  <si>
    <t>Production details</t>
  </si>
  <si>
    <t>Manufacturing Industries notified as Designated Consumers</t>
  </si>
  <si>
    <t>Products</t>
  </si>
  <si>
    <t>Energy Consumption Details of Manufacturing Industries notified as Designated Consumers</t>
  </si>
  <si>
    <t>Total Electricity Generated</t>
  </si>
  <si>
    <t xml:space="preserve">Total  Electricity Exported </t>
  </si>
  <si>
    <t>Total Electrical Energy Consumption</t>
  </si>
  <si>
    <t xml:space="preserve">Total Solid Fuel Consumption </t>
  </si>
  <si>
    <t>(viii)</t>
  </si>
  <si>
    <t>Specific Energy Consumption Details</t>
  </si>
  <si>
    <t>7. i</t>
  </si>
  <si>
    <t>Specific Energy Consumption(Without Normalization)</t>
  </si>
  <si>
    <t>Specific Energy Consumption (Normalized)</t>
  </si>
  <si>
    <t>Power Plants notified as Designated Consumer</t>
  </si>
  <si>
    <t>8. i.</t>
  </si>
  <si>
    <t>Total Capacity</t>
  </si>
  <si>
    <t>Unit Configuration</t>
  </si>
  <si>
    <t>No. of units with their capacity</t>
  </si>
  <si>
    <t>iii</t>
  </si>
  <si>
    <t xml:space="preserve">Annual Gross Generation </t>
  </si>
  <si>
    <t>MU</t>
  </si>
  <si>
    <t>iv</t>
  </si>
  <si>
    <t xml:space="preserve">Annual Plant Load Factor (PLF) </t>
  </si>
  <si>
    <t>v</t>
  </si>
  <si>
    <t>Station Gross Design Heat Rate</t>
  </si>
  <si>
    <t>kcal/kWh</t>
  </si>
  <si>
    <t>vi</t>
  </si>
  <si>
    <t>Station Gross Operative Heat Rate</t>
  </si>
  <si>
    <t>vii</t>
  </si>
  <si>
    <t xml:space="preserve">Auxiliary Power Consumption </t>
  </si>
  <si>
    <t>viii</t>
  </si>
  <si>
    <t>Operative Net Heat Rate</t>
  </si>
  <si>
    <t>ix</t>
  </si>
  <si>
    <t>Operative Net Heat Rate (Normalized)</t>
  </si>
  <si>
    <t>Energy Saving and Investment Details</t>
  </si>
  <si>
    <t>Total Electrical Energy Saving</t>
  </si>
  <si>
    <t>Million kWh</t>
  </si>
  <si>
    <t>Total Thermal Energy Saving (Solid + Liquid + Gas saving)</t>
  </si>
  <si>
    <t>Solid Fuel</t>
  </si>
  <si>
    <t>Coal</t>
  </si>
  <si>
    <t>Lignite</t>
  </si>
  <si>
    <t>Pet coke</t>
  </si>
  <si>
    <t>Biomass/waste</t>
  </si>
  <si>
    <t>Liquid Fuel (FO/LDO/LSHS/HSD/HSHS/Waste)</t>
  </si>
  <si>
    <t>Gaseous Fuel (CNG/LPG/Waste)</t>
  </si>
  <si>
    <t>Total Investment</t>
  </si>
  <si>
    <t>Million Rs</t>
  </si>
  <si>
    <t>G</t>
  </si>
  <si>
    <t>Sector-Wise Details</t>
  </si>
  <si>
    <t>S.No</t>
  </si>
  <si>
    <t>Name of the Sector</t>
  </si>
  <si>
    <t>Form in which the details to be furnished</t>
  </si>
  <si>
    <t>Aluminium</t>
  </si>
  <si>
    <t>Refinery/Smelter</t>
  </si>
  <si>
    <r>
      <t>Sa</t>
    </r>
    <r>
      <rPr>
        <vertAlign val="subscript"/>
        <sz val="11"/>
        <color indexed="8"/>
        <rFont val="Arial"/>
        <family val="2"/>
      </rPr>
      <t>1</t>
    </r>
  </si>
  <si>
    <t>Cold Rolling Sheet</t>
  </si>
  <si>
    <r>
      <t>Sa</t>
    </r>
    <r>
      <rPr>
        <vertAlign val="subscript"/>
        <sz val="11"/>
        <color indexed="8"/>
        <rFont val="Arial"/>
        <family val="2"/>
      </rPr>
      <t>2</t>
    </r>
  </si>
  <si>
    <t>Cement</t>
  </si>
  <si>
    <t>Sb</t>
  </si>
  <si>
    <t>Chlor-Alkali</t>
  </si>
  <si>
    <t>Sc</t>
  </si>
  <si>
    <t>Fertilizer</t>
  </si>
  <si>
    <t>Sd</t>
  </si>
  <si>
    <t>Iron and Steel</t>
  </si>
  <si>
    <t>Integrated Steel</t>
  </si>
  <si>
    <r>
      <t>Se</t>
    </r>
    <r>
      <rPr>
        <vertAlign val="subscript"/>
        <sz val="11"/>
        <color indexed="8"/>
        <rFont val="Arial"/>
        <family val="2"/>
      </rPr>
      <t>1</t>
    </r>
  </si>
  <si>
    <t>Sponge Iron</t>
  </si>
  <si>
    <r>
      <t>Se</t>
    </r>
    <r>
      <rPr>
        <vertAlign val="subscript"/>
        <sz val="11"/>
        <color indexed="8"/>
        <rFont val="Arial"/>
        <family val="2"/>
      </rPr>
      <t>2</t>
    </r>
  </si>
  <si>
    <t>Pulp and Paper</t>
  </si>
  <si>
    <t>Sf</t>
  </si>
  <si>
    <t>Textile</t>
  </si>
  <si>
    <t>Composite</t>
  </si>
  <si>
    <r>
      <t>Sg</t>
    </r>
    <r>
      <rPr>
        <vertAlign val="subscript"/>
        <sz val="11"/>
        <color indexed="8"/>
        <rFont val="Arial"/>
        <family val="2"/>
      </rPr>
      <t>1</t>
    </r>
  </si>
  <si>
    <t>Fiber</t>
  </si>
  <si>
    <r>
      <t>Sg</t>
    </r>
    <r>
      <rPr>
        <vertAlign val="subscript"/>
        <sz val="11"/>
        <color indexed="8"/>
        <rFont val="Arial"/>
        <family val="2"/>
      </rPr>
      <t>2</t>
    </r>
  </si>
  <si>
    <t>Spinning</t>
  </si>
  <si>
    <r>
      <t>Sg</t>
    </r>
    <r>
      <rPr>
        <vertAlign val="subscript"/>
        <sz val="11"/>
        <color indexed="8"/>
        <rFont val="Arial"/>
        <family val="2"/>
      </rPr>
      <t>3</t>
    </r>
  </si>
  <si>
    <t>Processing</t>
  </si>
  <si>
    <r>
      <t>Sg</t>
    </r>
    <r>
      <rPr>
        <vertAlign val="subscript"/>
        <sz val="11"/>
        <color indexed="8"/>
        <rFont val="Arial"/>
        <family val="2"/>
      </rPr>
      <t>4</t>
    </r>
  </si>
  <si>
    <t>Thermal Power Plant</t>
  </si>
  <si>
    <t>Sh</t>
  </si>
  <si>
    <t>Signature:</t>
  </si>
  <si>
    <t>Seal</t>
  </si>
  <si>
    <t>Date</t>
  </si>
  <si>
    <t>Sub Sector</t>
  </si>
  <si>
    <t>Subsector</t>
  </si>
  <si>
    <t>i) Year of Establishment</t>
  </si>
  <si>
    <t>Plant Contact Details &amp; Address</t>
  </si>
  <si>
    <t>City/Town/Village</t>
  </si>
  <si>
    <t>District</t>
  </si>
  <si>
    <t>State</t>
  </si>
  <si>
    <t>Pin</t>
  </si>
  <si>
    <t>Telephone</t>
  </si>
  <si>
    <t>Fax</t>
  </si>
  <si>
    <t>Plant's Chief Executive Name</t>
  </si>
  <si>
    <t>Designation</t>
  </si>
  <si>
    <t>Mobile</t>
  </si>
  <si>
    <t>E-mail</t>
  </si>
  <si>
    <t>Registered Office</t>
  </si>
  <si>
    <t>Company's Chief Executive Name</t>
  </si>
  <si>
    <t>Address</t>
  </si>
  <si>
    <t>P.O.</t>
  </si>
  <si>
    <t>Energy Manager Details</t>
  </si>
  <si>
    <t xml:space="preserve">Name  </t>
  </si>
  <si>
    <t>Whether EA or EM</t>
  </si>
  <si>
    <t>EA/EM Registration No.</t>
  </si>
  <si>
    <t>E-mail ID</t>
  </si>
  <si>
    <t>UREA</t>
  </si>
  <si>
    <t xml:space="preserve">Total Liquid Fuel Consumption </t>
  </si>
  <si>
    <t xml:space="preserve">Total Gaseous Fuel Consumption </t>
  </si>
  <si>
    <t>Sector - Fertilizer Sector</t>
  </si>
  <si>
    <t>Net "Normalization factor ( NF)</t>
  </si>
  <si>
    <t>* Plz note that for the DC having  Ammonia as Final product, will fill  data for Ammonia Energy Consumtion and production instead of Urea as indicated above</t>
  </si>
  <si>
    <t xml:space="preserve">Total Electricity Purchased from Grid </t>
  </si>
  <si>
    <t>B.2.3.2.2</t>
  </si>
  <si>
    <t xml:space="preserve">The enhanced capacity shall be considered, while calculating capacity utilization for normalization, subject to confirmation from DoF, Government of India and also verification certificate issued by an Accredited Energy Auditor to DC  </t>
  </si>
  <si>
    <t>Actual unproductive energy  ( Gcal/ MT urea) = Annual Energy, Gcal/MT of Urea - Weighted Average of Monthly Energy Consumptions/MT urea for the months with Capacity Utilization of 100% or more</t>
  </si>
  <si>
    <t xml:space="preserve">This actual energy loss due to shut down and cold startup in Gcal/MT of Urea shall be compensated, subject to maximum of 0.03 Gcal/MT of Urea </t>
  </si>
  <si>
    <t>Maximum allowable limit   ( 0.03 Gcal/MT urea/ forced shut down)</t>
  </si>
  <si>
    <t>Name of equipment failed                                  ( As per the list)</t>
  </si>
  <si>
    <t xml:space="preserve">TOE </t>
  </si>
  <si>
    <t>Total Generation of Electricity 
( DG Set + steam turbine + gas turbine)</t>
  </si>
  <si>
    <t xml:space="preserve">Total electrical energy allocated for urea production through Gas turbine </t>
  </si>
  <si>
    <t>B.2.2.2.3</t>
  </si>
  <si>
    <t>Liquid fuel ( FO, Naphtha)</t>
  </si>
  <si>
    <t>Density</t>
  </si>
  <si>
    <t>B.2.2.24</t>
  </si>
  <si>
    <t>Gaseous fuel ( NG)</t>
  </si>
  <si>
    <t>TOE/MT urea</t>
  </si>
  <si>
    <t>Quantity allocated for urea production ( As per TOP)</t>
  </si>
  <si>
    <t>Generated power  consumed</t>
  </si>
  <si>
    <t>Purchased power consumed</t>
  </si>
  <si>
    <t>Total power  consumed</t>
  </si>
  <si>
    <t>Renewable energy consumed</t>
  </si>
  <si>
    <t>1.e</t>
  </si>
  <si>
    <t>Total unproductive energy</t>
  </si>
  <si>
    <t>Gcal/Yr</t>
  </si>
  <si>
    <t>MT/Yr</t>
  </si>
  <si>
    <t>Un-productive SEC urea</t>
  </si>
  <si>
    <t>Actual urea production</t>
  </si>
  <si>
    <t>NF</t>
  </si>
  <si>
    <t>Normalization Factors (NF)</t>
  </si>
  <si>
    <t xml:space="preserve"> SEC after reducing  ( 2.53)</t>
  </si>
  <si>
    <t>Net Normalization factor</t>
  </si>
  <si>
    <t>Total overall allowable normalization energy</t>
  </si>
  <si>
    <t>Re-assesed capacity</t>
  </si>
  <si>
    <t>Normalization Factor due to low capacity</t>
  </si>
  <si>
    <t>ii) Registration No (As provided by BEE)</t>
  </si>
  <si>
    <t>Post office</t>
  </si>
  <si>
    <t>Telephone with STD code</t>
  </si>
  <si>
    <t>State with STD code</t>
  </si>
  <si>
    <t xml:space="preserve">Year </t>
  </si>
  <si>
    <t>Net energy consumption on account of  naphtha ( Sr no5.3 - Sr no 8 )</t>
  </si>
  <si>
    <t xml:space="preserve">Metric Tonnes </t>
  </si>
  <si>
    <t>kg</t>
  </si>
  <si>
    <t>( MMSCM)</t>
  </si>
  <si>
    <t>Fuel HSD (Specify))</t>
  </si>
  <si>
    <t>KL</t>
  </si>
  <si>
    <t>kCal/ Kg</t>
  </si>
  <si>
    <t>Specify whether data is not applicable or it is missing?</t>
  </si>
  <si>
    <t xml:space="preserve"> MWH  Kcal / kwh</t>
  </si>
  <si>
    <t>mwh</t>
  </si>
  <si>
    <t>*</t>
  </si>
  <si>
    <t>Steam Export to other Plants (CPP &amp; CDR)</t>
  </si>
  <si>
    <t>Liquid fuels (HSD)</t>
  </si>
  <si>
    <t xml:space="preserve">Block diagram showing total energy input at Plant BL as well as allocated for urea production. Also shows credit / debit of energy at intermediate stages </t>
  </si>
  <si>
    <t>ESCerts Calculation</t>
  </si>
  <si>
    <t>Specific Energy Consumption (Baseline)</t>
  </si>
  <si>
    <t>Production (Baseline)</t>
  </si>
  <si>
    <t>Revised Target SEC</t>
  </si>
  <si>
    <t>Target after normalization</t>
  </si>
  <si>
    <t>Achieved specific energy consumption</t>
  </si>
  <si>
    <t>Energy savings certificate</t>
  </si>
  <si>
    <t>MMSCM/year</t>
  </si>
  <si>
    <t>Wether DC wants to claim for Normalization</t>
  </si>
  <si>
    <t>Yes/No</t>
  </si>
  <si>
    <t>ROUND(K23-K22,2)</t>
  </si>
  <si>
    <t>Calculation of " Normalization Factor ( NF)" due to  "Low Capacity Utilisation" - Urea  plant</t>
  </si>
  <si>
    <t>Urea plant capacity utilisation</t>
  </si>
  <si>
    <t>Gcal/MT Urea</t>
  </si>
  <si>
    <t xml:space="preserve"> From Ammonia Plant</t>
  </si>
  <si>
    <t>as per Notification</t>
  </si>
  <si>
    <t>Specific Energy Consumptions are excluding non plant energy consumptions</t>
  </si>
  <si>
    <t>(x)</t>
  </si>
  <si>
    <t>Name of Designated Consumer</t>
  </si>
  <si>
    <t>PAT Cycle II _ Fertilizer sector _ Urea plant</t>
  </si>
  <si>
    <t>Baseline year</t>
  </si>
  <si>
    <t>Reprting years</t>
  </si>
  <si>
    <t>2015-16</t>
  </si>
  <si>
    <t>2016-17</t>
  </si>
  <si>
    <t>A.0</t>
  </si>
  <si>
    <t>Data entry</t>
  </si>
  <si>
    <t>Formulae</t>
  </si>
  <si>
    <t>Headings</t>
  </si>
  <si>
    <t>Specify the basis of capacity utilization</t>
  </si>
  <si>
    <t>OTHER MAJOR PRODUCTS</t>
  </si>
  <si>
    <t xml:space="preserve">Own power generation </t>
  </si>
  <si>
    <t>Coal grade Indigenous ( Specify)</t>
  </si>
  <si>
    <t>B.3</t>
  </si>
  <si>
    <t xml:space="preserve">Steam production/distribution </t>
  </si>
  <si>
    <t>B.3.1</t>
  </si>
  <si>
    <t xml:space="preserve">Select steam header at highest pressure for  converting all steam figures on pro rata of enthalpy to this header . </t>
  </si>
  <si>
    <t>Steam pressure</t>
  </si>
  <si>
    <t>ata</t>
  </si>
  <si>
    <t>Steam temoerature</t>
  </si>
  <si>
    <t>0C</t>
  </si>
  <si>
    <t>B.3.2</t>
  </si>
  <si>
    <t>B.3.2.1</t>
  </si>
  <si>
    <t>Rating of boiler</t>
  </si>
  <si>
    <t>MT/hr</t>
  </si>
  <si>
    <t>Annual production</t>
  </si>
  <si>
    <t>Equiv qty at HP parameters at B.3.1 on pro rata of enthalpy</t>
  </si>
  <si>
    <t>B.3.2.2</t>
  </si>
  <si>
    <t>By heat recovery</t>
  </si>
  <si>
    <t>B.3.2.3</t>
  </si>
  <si>
    <t>Steam import from outside B.L.of entire complex</t>
  </si>
  <si>
    <t>Annual steam import</t>
  </si>
  <si>
    <t>Total steam generation/available</t>
  </si>
  <si>
    <t>B.3.4</t>
  </si>
  <si>
    <t>Steam distribution ( Eqiv at HP parameters on pro rata of enthalpy)</t>
  </si>
  <si>
    <t>B.3.3.1</t>
  </si>
  <si>
    <t xml:space="preserve">Power generation </t>
  </si>
  <si>
    <t>B.3.3.2</t>
  </si>
  <si>
    <t>Ammonia plant</t>
  </si>
  <si>
    <t>B.3.3.3</t>
  </si>
  <si>
    <t>B.3.3.7</t>
  </si>
  <si>
    <t>B.3.5</t>
  </si>
  <si>
    <t>Total steam consumption</t>
  </si>
  <si>
    <t>Urea plant</t>
  </si>
  <si>
    <t>Others ( Specify)</t>
  </si>
  <si>
    <t>Blank</t>
  </si>
  <si>
    <t>Quantity allocated for urea production (Must fill-in)</t>
  </si>
  <si>
    <t>Sd_Form 1</t>
  </si>
  <si>
    <t>Baseline Year</t>
  </si>
  <si>
    <t>Reporting years</t>
  </si>
  <si>
    <t>KCal/SM3</t>
  </si>
  <si>
    <t>KCal/SM4</t>
  </si>
  <si>
    <t>KCal/Kg</t>
  </si>
  <si>
    <t>Steam production ( EXCLUDING AMMONIA &amp; UREA PLANTS)</t>
  </si>
  <si>
    <t>By direct fuel firing in Boiler</t>
  </si>
  <si>
    <t xml:space="preserve">Steam Export </t>
  </si>
  <si>
    <t>Total Electricity Generated through Steam Turbo generator</t>
  </si>
  <si>
    <t>Other products (Please add extra sheet  in case of additional products)</t>
  </si>
  <si>
    <t xml:space="preserve">Name of Energy Manager: </t>
  </si>
  <si>
    <t xml:space="preserve">Registration Number: </t>
  </si>
  <si>
    <t xml:space="preserve">Name of the Company: </t>
  </si>
  <si>
    <t xml:space="preserve">Full Address:- </t>
  </si>
  <si>
    <t>We………………….....undertake that information furnished in the Form I and the sector specific Form are complete and accurate to the best of my knowledge. I also undertake that the information provided for normalization is limited to external factors only.</t>
  </si>
  <si>
    <t xml:space="preserve">Total  Energy Consumption (Thermal + Electrical) of the unit </t>
  </si>
  <si>
    <t>( xi)</t>
  </si>
  <si>
    <t>(ixa)</t>
  </si>
  <si>
    <t xml:space="preserve">Total Thermal Energy Consumption of the Unit </t>
  </si>
  <si>
    <t>(ixb)</t>
  </si>
  <si>
    <t>Total Thermal Energy Consumption allocated to urea production</t>
  </si>
  <si>
    <t>Total  Energy Consumption (Thermal + Electrical) allocated to urea production</t>
  </si>
  <si>
    <t>Total Normalized Energy Consumption (Thermal + Electrical)  allocated to Complex Fertilizer</t>
  </si>
  <si>
    <t>Form- 1 ((General Information)</t>
  </si>
  <si>
    <t>Year</t>
  </si>
  <si>
    <t>………………</t>
  </si>
  <si>
    <t xml:space="preserve">Summary :  Ammonia / urea production and energy data </t>
  </si>
  <si>
    <t>Important figures</t>
  </si>
  <si>
    <t>Month-wise production &amp; energy consumption during the year ( 2018-19)</t>
  </si>
  <si>
    <t>Monthly best performance  during the year ( 2018-19)</t>
  </si>
  <si>
    <t>Month-wise production &amp; energy consumption during the year ( 2017-18)</t>
  </si>
  <si>
    <t>Monthly best performance  during the year ( 2017-18)</t>
  </si>
  <si>
    <t>Month-wise production &amp; energy consumption during the year ( 2016-17)</t>
  </si>
  <si>
    <t>Monthly best performance  during the year ( 2016-17)</t>
  </si>
  <si>
    <t>Month-wise production &amp; energy consumption during the year ( 2015-16)</t>
  </si>
  <si>
    <t>Monthly best performance  during the year ( 2015-16)</t>
  </si>
  <si>
    <t xml:space="preserve">Documentation </t>
  </si>
  <si>
    <t>In case there is significant variation, then normalization factor</t>
  </si>
  <si>
    <t>shall be applied based on the actual impact due to the variation.</t>
  </si>
  <si>
    <t>R33*(N36-R35)/R35</t>
  </si>
  <si>
    <t>Excess energy consumption    ( SEC)  due to naphtha by using formula ( split in two parts)</t>
  </si>
  <si>
    <t>R30-N30</t>
  </si>
  <si>
    <t>R31</t>
  </si>
  <si>
    <t>Date / time</t>
  </si>
  <si>
    <t>( 95 - % CU for urea) x 0.02</t>
  </si>
  <si>
    <t>Net un-productive energy</t>
  </si>
  <si>
    <t xml:space="preserve">Sp. Energy consumption ( SEC) </t>
  </si>
  <si>
    <t>Net impact (2018-19)-(2014-15)</t>
  </si>
  <si>
    <t>Normalized SEC for year 2018-19</t>
  </si>
  <si>
    <t xml:space="preserve">Equivalent MTOE for the purpose of ES-Certs </t>
  </si>
  <si>
    <t>No</t>
  </si>
  <si>
    <t xml:space="preserve"> SEC for year 2018-19</t>
  </si>
  <si>
    <t>Targeted SEC during 2018-19</t>
  </si>
  <si>
    <t xml:space="preserve">IN THIS EXCEL SHEET, ALL FIGURES ARE ILLUSTRATIVE FIGURES. </t>
  </si>
  <si>
    <t xml:space="preserve">DON'T DISTURB THE FORMULAE HIGHLIGHTED WITH </t>
  </si>
  <si>
    <t>EXCEL SHEET IS UNLOCKED</t>
  </si>
  <si>
    <t>ALSO DON'T INSERT ANY ROW OR COLUMN TO AVOID DISLOCATION OF FORMULA LINKS</t>
  </si>
  <si>
    <t>A1 to AF 139</t>
  </si>
  <si>
    <t>FIGURES IN RED</t>
  </si>
  <si>
    <t>AND FILL-IN THE FIGURES RELATED TO RESPECTIVE DC.</t>
  </si>
  <si>
    <t xml:space="preserve">        PLEASE DELETE                      </t>
  </si>
  <si>
    <t>AND(95&gt;P8,P8&gt;70)</t>
  </si>
  <si>
    <t>E.4</t>
  </si>
  <si>
    <t>Total energy consumption ( Gross)of gaseous  fuel</t>
  </si>
  <si>
    <t>Kcal/kWh</t>
  </si>
  <si>
    <t>Heat Rate of generated power   ( Based on TOP 19.10)</t>
  </si>
  <si>
    <t xml:space="preserve">Steam Export to other Plants </t>
  </si>
  <si>
    <t>Energy Consumption per tonne of Urea ( As per TOP)</t>
  </si>
  <si>
    <t>Energy of Steam                                 ( Based on TOP 19.09)</t>
  </si>
  <si>
    <t>Energy of Steam                               ( Based on TOP 19.09)</t>
  </si>
  <si>
    <t xml:space="preserve">Normalized SEC for assessment year ( 2018-19) (S.No. 6(i)-7) </t>
  </si>
  <si>
    <t>Tech annexure'!E80</t>
  </si>
  <si>
    <t>Tech annexure'!E51</t>
  </si>
  <si>
    <t>NF_Low cap '!P20</t>
  </si>
  <si>
    <t>NF_cold start'!M28</t>
  </si>
  <si>
    <t>NF_Naphtha!M30</t>
  </si>
  <si>
    <t>NF_catalyst red'!M47</t>
  </si>
  <si>
    <t>NA</t>
  </si>
  <si>
    <t>NF_coal!R38</t>
  </si>
  <si>
    <t>After reducing  0.253</t>
  </si>
  <si>
    <t>Energy Consumption / te ammonia ( As per TOP)</t>
  </si>
  <si>
    <t>Total Energy per MT of Urea  INCLUDING  factory services and township) *     Please see remarks below</t>
  </si>
  <si>
    <t>Total Energy per MT of Urea*                            EXCLUDING  factory services and township)   Pl. see remarks below</t>
  </si>
  <si>
    <t>Normalization Factor ( NF) Lower of J16 &amp; J28</t>
  </si>
  <si>
    <t>Unproductive energy due to catalyst reduction ( Minimum of Row 47 &amp; 49)</t>
  </si>
  <si>
    <t xml:space="preserve">Net un-productive energy due to catalyst reduction w.r.t. baseline period                             </t>
  </si>
  <si>
    <t xml:space="preserve">Normalization factor due to catalyst reduction </t>
  </si>
  <si>
    <t xml:space="preserve"> From other source </t>
  </si>
  <si>
    <t>Enthalpy ( As per TOP)</t>
  </si>
  <si>
    <t>All sheets modified on 13.06.2017</t>
  </si>
  <si>
    <t>Steam temperature</t>
  </si>
  <si>
    <t>Enthalpy (As per TOP))</t>
  </si>
  <si>
    <t>Heat rate ( As per TOP)</t>
  </si>
  <si>
    <t xml:space="preserve">Previous year         </t>
  </si>
  <si>
    <t>2017-18</t>
  </si>
  <si>
    <t>2018-19</t>
  </si>
  <si>
    <t xml:space="preserve">Current / Assessment    year   </t>
  </si>
  <si>
    <t xml:space="preserve">Previous year            </t>
  </si>
  <si>
    <t xml:space="preserve">Assessment/      Target Year        </t>
  </si>
  <si>
    <t xml:space="preserve">Previous year        </t>
  </si>
  <si>
    <t xml:space="preserve">Current / assessment Year         </t>
  </si>
  <si>
    <t xml:space="preserve">Net normalization Factor </t>
  </si>
  <si>
    <t>Total Electrical Energy Consumption  Allocated to Urea Fertilizer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</si>
</sst>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000"/>
    <numFmt numFmtId="167" formatCode="0.0000"/>
    <numFmt numFmtId="168" formatCode="0.00000"/>
  </numFmts>
  <fonts count="74">
    <font>
      <sz val="11"/>
      <color theme="1"/>
      <name val="Calibri"/>
      <family val="2"/>
      <scheme val="minor"/>
    </font>
    <font>
      <b/>
      <sz val="12"/>
      <color theme="1"/>
      <name val="Calibri"/>
      <family val="2"/>
      <scheme val="minor"/>
    </font>
    <font>
      <sz val="12"/>
      <color theme="1"/>
      <name val="Calibri"/>
      <family val="2"/>
      <scheme val="minor"/>
    </font>
    <font>
      <b/>
      <sz val="12"/>
      <name val="Cambria"/>
      <family val="1"/>
    </font>
    <font>
      <b/>
      <sz val="14"/>
      <color theme="1"/>
      <name val="Calibri"/>
      <family val="2"/>
      <scheme val="minor"/>
    </font>
    <font>
      <b/>
      <sz val="11"/>
      <color theme="1"/>
      <name val="Calibri"/>
      <family val="2"/>
      <scheme val="minor"/>
    </font>
    <font>
      <sz val="14"/>
      <color theme="1"/>
      <name val="Calibri"/>
      <family val="2"/>
      <scheme val="minor"/>
    </font>
    <font>
      <sz val="12"/>
      <name val="Cambria"/>
      <family val="1"/>
    </font>
    <font>
      <sz val="11"/>
      <color rgb="FFFF0000"/>
      <name val="Calibri"/>
      <family val="2"/>
      <scheme val="minor"/>
    </font>
    <font>
      <b/>
      <sz val="11"/>
      <color rgb="FFFF0000"/>
      <name val="Calibri"/>
      <family val="2"/>
      <scheme val="minor"/>
    </font>
    <font>
      <b/>
      <sz val="13"/>
      <name val="Cambria"/>
      <family val="1"/>
    </font>
    <font>
      <sz val="12"/>
      <color rgb="FFC00000"/>
      <name val="Calibri"/>
      <family val="2"/>
      <scheme val="minor"/>
    </font>
    <font>
      <sz val="7"/>
      <color theme="1"/>
      <name val="Times New Roman"/>
      <family val="1"/>
    </font>
    <font>
      <sz val="12"/>
      <name val="Calibri"/>
      <family val="2"/>
      <scheme val="minor"/>
    </font>
    <font>
      <sz val="11"/>
      <name val="Calibri"/>
      <family val="2"/>
      <scheme val="minor"/>
    </font>
    <font>
      <vertAlign val="subscript"/>
      <sz val="12"/>
      <color theme="1"/>
      <name val="Calibri"/>
      <family val="2"/>
      <scheme val="minor"/>
    </font>
    <font>
      <b/>
      <sz val="12"/>
      <name val="Calibri"/>
      <family val="2"/>
    </font>
    <font>
      <b/>
      <sz val="14"/>
      <name val="Calibri"/>
      <family val="2"/>
    </font>
    <font>
      <sz val="12"/>
      <color rgb="FFFF0000"/>
      <name val="Calibri"/>
      <family val="2"/>
      <scheme val="minor"/>
    </font>
    <font>
      <sz val="11"/>
      <color theme="1"/>
      <name val="PalatinoLinotype-Roman"/>
    </font>
    <font>
      <sz val="11"/>
      <color rgb="FF0070C0"/>
      <name val="Calibri"/>
      <family val="2"/>
      <scheme val="minor"/>
    </font>
    <font>
      <b/>
      <sz val="13"/>
      <color rgb="FF0070C0"/>
      <name val="Cambria"/>
      <family val="1"/>
    </font>
    <font>
      <sz val="12"/>
      <color rgb="FF0070C0"/>
      <name val="Calibri"/>
      <family val="2"/>
      <scheme val="minor"/>
    </font>
    <font>
      <b/>
      <sz val="14"/>
      <color rgb="FF0070C0"/>
      <name val="Calibri"/>
      <family val="2"/>
      <scheme val="minor"/>
    </font>
    <font>
      <b/>
      <sz val="14"/>
      <color rgb="FF0070C0"/>
      <name val="Calibri"/>
      <family val="2"/>
    </font>
    <font>
      <b/>
      <sz val="14"/>
      <name val="Calibri"/>
      <family val="2"/>
      <scheme val="minor"/>
    </font>
    <font>
      <b/>
      <sz val="12"/>
      <name val="Calibri"/>
      <family val="2"/>
      <scheme val="minor"/>
    </font>
    <font>
      <b/>
      <sz val="11"/>
      <name val="Calibri"/>
      <family val="2"/>
      <scheme val="minor"/>
    </font>
    <font>
      <b/>
      <i/>
      <sz val="11"/>
      <color rgb="FFC00000"/>
      <name val="Calibri"/>
      <family val="2"/>
      <scheme val="minor"/>
    </font>
    <font>
      <b/>
      <i/>
      <sz val="11"/>
      <color theme="1"/>
      <name val="Calibri"/>
      <family val="2"/>
      <scheme val="minor"/>
    </font>
    <font>
      <b/>
      <i/>
      <sz val="12"/>
      <color rgb="FFC00000"/>
      <name val="Calibri"/>
      <family val="2"/>
      <scheme val="minor"/>
    </font>
    <font>
      <i/>
      <sz val="11"/>
      <color theme="1"/>
      <name val="Calibri"/>
      <family val="2"/>
      <scheme val="minor"/>
    </font>
    <font>
      <b/>
      <sz val="11"/>
      <color rgb="FFC00000"/>
      <name val="Calibri"/>
      <family val="2"/>
      <scheme val="minor"/>
    </font>
    <font>
      <i/>
      <sz val="11"/>
      <name val="Calibri"/>
      <family val="2"/>
      <scheme val="minor"/>
    </font>
    <font>
      <b/>
      <i/>
      <sz val="11"/>
      <name val="Calibri"/>
      <family val="2"/>
      <scheme val="minor"/>
    </font>
    <font>
      <b/>
      <sz val="10"/>
      <name val="Arial"/>
      <family val="2"/>
    </font>
    <font>
      <sz val="10"/>
      <name val="Arial"/>
      <family val="2"/>
    </font>
    <font>
      <b/>
      <sz val="14"/>
      <name val="Arial"/>
      <family val="2"/>
    </font>
    <font>
      <b/>
      <sz val="13"/>
      <name val="Arial"/>
      <family val="2"/>
    </font>
    <font>
      <b/>
      <sz val="11"/>
      <color indexed="8"/>
      <name val="Calibri"/>
      <family val="2"/>
      <scheme val="minor"/>
    </font>
    <font>
      <b/>
      <sz val="12"/>
      <color rgb="FF000000"/>
      <name val="Arial"/>
      <family val="2"/>
    </font>
    <font>
      <sz val="11"/>
      <color rgb="FF000000"/>
      <name val="Arial"/>
      <family val="2"/>
    </font>
    <font>
      <b/>
      <sz val="11"/>
      <color indexed="8"/>
      <name val="Arial"/>
      <family val="2"/>
    </font>
    <font>
      <sz val="11"/>
      <color indexed="8"/>
      <name val="Arial"/>
      <family val="2"/>
    </font>
    <font>
      <b/>
      <sz val="11"/>
      <color rgb="FF000000"/>
      <name val="Arial"/>
      <family val="2"/>
    </font>
    <font>
      <sz val="11"/>
      <color theme="1"/>
      <name val="Arial"/>
      <family val="2"/>
    </font>
    <font>
      <vertAlign val="subscript"/>
      <sz val="11"/>
      <color indexed="8"/>
      <name val="Arial"/>
      <family val="2"/>
    </font>
    <font>
      <b/>
      <sz val="11"/>
      <color rgb="FF000000"/>
      <name val="Century Gothic"/>
      <family val="2"/>
    </font>
    <font>
      <b/>
      <sz val="10"/>
      <color rgb="FF000000"/>
      <name val="Century Gothic"/>
      <family val="2"/>
    </font>
    <font>
      <sz val="11"/>
      <color theme="1"/>
      <name val="Century Gothic"/>
      <family val="2"/>
    </font>
    <font>
      <sz val="11"/>
      <color rgb="FFFF0000"/>
      <name val="Arial"/>
      <family val="2"/>
    </font>
    <font>
      <b/>
      <sz val="11"/>
      <name val="Palatino Linotype"/>
      <family val="1"/>
    </font>
    <font>
      <sz val="11"/>
      <name val="Arial"/>
      <family val="2"/>
    </font>
    <font>
      <u/>
      <sz val="11"/>
      <color theme="10"/>
      <name val="Calibri"/>
      <family val="2"/>
    </font>
    <font>
      <b/>
      <sz val="16"/>
      <color rgb="FFFF0000"/>
      <name val="Calibri"/>
      <family val="2"/>
      <scheme val="minor"/>
    </font>
    <font>
      <b/>
      <sz val="16"/>
      <name val="Palatino Linotype"/>
      <family val="1"/>
    </font>
    <font>
      <b/>
      <sz val="18"/>
      <name val="Palatino Linotype"/>
      <family val="1"/>
    </font>
    <font>
      <sz val="11"/>
      <name val="Palatino Linotype"/>
      <family val="1"/>
    </font>
    <font>
      <u/>
      <sz val="11"/>
      <name val="Calibri"/>
      <family val="2"/>
    </font>
    <font>
      <b/>
      <sz val="14"/>
      <color rgb="FF000000"/>
      <name val="Arial"/>
      <family val="2"/>
    </font>
    <font>
      <b/>
      <sz val="16"/>
      <color theme="1"/>
      <name val="Calibri"/>
      <family val="2"/>
      <scheme val="minor"/>
    </font>
    <font>
      <b/>
      <sz val="13"/>
      <color theme="1"/>
      <name val="Calibri"/>
      <family val="2"/>
      <scheme val="minor"/>
    </font>
    <font>
      <b/>
      <i/>
      <sz val="12"/>
      <name val="Calibri"/>
      <family val="2"/>
      <scheme val="minor"/>
    </font>
    <font>
      <sz val="14"/>
      <name val="Calibri"/>
      <family val="2"/>
      <scheme val="minor"/>
    </font>
    <font>
      <b/>
      <sz val="13"/>
      <name val="Calibri"/>
      <family val="2"/>
      <scheme val="minor"/>
    </font>
    <font>
      <sz val="13"/>
      <color theme="1"/>
      <name val="Calibri"/>
      <family val="2"/>
      <scheme val="minor"/>
    </font>
    <font>
      <b/>
      <i/>
      <sz val="13"/>
      <name val="Calibri"/>
      <family val="2"/>
      <scheme val="minor"/>
    </font>
    <font>
      <sz val="13"/>
      <name val="Calibri"/>
      <family val="2"/>
      <scheme val="minor"/>
    </font>
    <font>
      <b/>
      <sz val="11"/>
      <name val="Arial"/>
      <family val="2"/>
    </font>
    <font>
      <b/>
      <sz val="14"/>
      <color rgb="FFFF0000"/>
      <name val="Calibri"/>
      <family val="2"/>
      <scheme val="minor"/>
    </font>
    <font>
      <b/>
      <sz val="16"/>
      <name val="Calibri"/>
      <family val="2"/>
      <scheme val="minor"/>
    </font>
    <font>
      <sz val="12"/>
      <color rgb="FF002060"/>
      <name val="Calibri"/>
      <family val="2"/>
      <scheme val="minor"/>
    </font>
    <font>
      <sz val="10"/>
      <color rgb="FFFF0000"/>
      <name val="Arial"/>
      <family val="2"/>
    </font>
    <font>
      <sz val="12"/>
      <color rgb="FF000000"/>
      <name val="Arial"/>
      <family val="2"/>
    </font>
  </fonts>
  <fills count="24">
    <fill>
      <patternFill patternType="none"/>
    </fill>
    <fill>
      <patternFill patternType="gray125"/>
    </fill>
    <fill>
      <patternFill patternType="solid">
        <fgColor rgb="FFE5B8B7"/>
        <bgColor indexed="64"/>
      </patternFill>
    </fill>
    <fill>
      <patternFill patternType="solid">
        <fgColor rgb="FFF2DBD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bgColor indexed="64"/>
      </patternFill>
    </fill>
    <fill>
      <patternFill patternType="solid">
        <fgColor theme="0"/>
        <bgColor indexed="64"/>
      </patternFill>
    </fill>
    <fill>
      <patternFill patternType="solid">
        <fgColor rgb="FF92D050"/>
        <bgColor indexed="64"/>
      </patternFill>
    </fill>
    <fill>
      <patternFill patternType="solid">
        <fgColor rgb="FFF2F2F2"/>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rgb="FF000000"/>
      </patternFill>
    </fill>
    <fill>
      <patternFill patternType="solid">
        <fgColor theme="5" tint="0.399975585192419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medium">
        <color rgb="FF000000"/>
      </left>
      <right style="medium">
        <color rgb="FF000000"/>
      </right>
      <top style="medium">
        <color rgb="FF000000"/>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3" fillId="0" borderId="0" applyNumberFormat="0" applyFill="0" applyBorder="0" applyAlignment="0" applyProtection="0">
      <alignment vertical="top"/>
      <protection locked="0"/>
    </xf>
  </cellStyleXfs>
  <cellXfs count="1444">
    <xf numFmtId="0" fontId="0" fillId="0" borderId="0" xfId="0"/>
    <xf numFmtId="0" fontId="0" fillId="0" borderId="0" xfId="0" applyAlignment="1">
      <alignment horizontal="center"/>
    </xf>
    <xf numFmtId="0" fontId="0" fillId="0" borderId="0" xfId="0" applyAlignment="1">
      <alignment vertical="center"/>
    </xf>
    <xf numFmtId="0" fontId="0" fillId="0" borderId="27" xfId="0" applyBorder="1"/>
    <xf numFmtId="0" fontId="0" fillId="0" borderId="17" xfId="0" applyBorder="1"/>
    <xf numFmtId="0" fontId="0" fillId="0" borderId="13" xfId="0" applyBorder="1"/>
    <xf numFmtId="0" fontId="0" fillId="0" borderId="14" xfId="0" applyBorder="1"/>
    <xf numFmtId="0" fontId="0" fillId="0" borderId="0" xfId="0" applyAlignment="1">
      <alignment horizontal="center" vertical="center"/>
    </xf>
    <xf numFmtId="0" fontId="0" fillId="0" borderId="9" xfId="0" applyBorder="1"/>
    <xf numFmtId="0" fontId="0" fillId="0" borderId="18" xfId="0" applyBorder="1"/>
    <xf numFmtId="0" fontId="0" fillId="0" borderId="0" xfId="0" applyBorder="1"/>
    <xf numFmtId="0" fontId="0" fillId="0" borderId="28" xfId="0" applyBorder="1"/>
    <xf numFmtId="0" fontId="2" fillId="0" borderId="9" xfId="0" applyFont="1" applyFill="1" applyBorder="1" applyAlignment="1">
      <alignment vertical="center" wrapText="1"/>
    </xf>
    <xf numFmtId="0" fontId="0" fillId="6" borderId="9" xfId="0" applyFill="1" applyBorder="1"/>
    <xf numFmtId="0" fontId="0" fillId="0" borderId="0" xfId="0" applyAlignment="1">
      <alignment horizontal="center" vertical="top"/>
    </xf>
    <xf numFmtId="0" fontId="0" fillId="0" borderId="5" xfId="0" applyBorder="1"/>
    <xf numFmtId="0" fontId="0" fillId="0" borderId="38" xfId="0" applyBorder="1"/>
    <xf numFmtId="0" fontId="0" fillId="0" borderId="6" xfId="0" applyBorder="1"/>
    <xf numFmtId="0" fontId="0" fillId="0" borderId="0" xfId="0" applyBorder="1" applyAlignment="1">
      <alignment horizontal="left"/>
    </xf>
    <xf numFmtId="0" fontId="0" fillId="0" borderId="0" xfId="0" applyBorder="1" applyAlignment="1">
      <alignment horizontal="center"/>
    </xf>
    <xf numFmtId="0" fontId="0" fillId="0" borderId="40" xfId="0" applyBorder="1"/>
    <xf numFmtId="0" fontId="0" fillId="0" borderId="9" xfId="0" applyFill="1" applyBorder="1" applyAlignment="1" applyProtection="1">
      <alignment horizontal="center" vertical="center"/>
    </xf>
    <xf numFmtId="0" fontId="0" fillId="6" borderId="9" xfId="0" applyFill="1" applyBorder="1" applyAlignment="1">
      <alignment horizontal="center"/>
    </xf>
    <xf numFmtId="0" fontId="35" fillId="0" borderId="0" xfId="0" applyFont="1"/>
    <xf numFmtId="0" fontId="0" fillId="0" borderId="15" xfId="0" applyBorder="1"/>
    <xf numFmtId="0" fontId="35" fillId="0" borderId="0" xfId="0" applyFont="1" applyBorder="1"/>
    <xf numFmtId="0" fontId="35" fillId="0" borderId="0" xfId="0" applyFont="1" applyBorder="1" applyAlignment="1">
      <alignment horizontal="left"/>
    </xf>
    <xf numFmtId="0" fontId="0" fillId="0" borderId="39" xfId="0" applyBorder="1"/>
    <xf numFmtId="0" fontId="0" fillId="0" borderId="37" xfId="0" applyBorder="1"/>
    <xf numFmtId="0" fontId="35" fillId="0" borderId="18" xfId="0" applyFont="1" applyBorder="1" applyAlignment="1">
      <alignment horizontal="left"/>
    </xf>
    <xf numFmtId="0" fontId="0" fillId="0" borderId="11" xfId="0" applyBorder="1"/>
    <xf numFmtId="0" fontId="0" fillId="0" borderId="36" xfId="0" applyBorder="1"/>
    <xf numFmtId="0" fontId="0" fillId="0" borderId="12" xfId="0" applyBorder="1"/>
    <xf numFmtId="0" fontId="0" fillId="0" borderId="16" xfId="0" applyBorder="1"/>
    <xf numFmtId="0" fontId="36" fillId="0" borderId="15" xfId="0" applyFont="1" applyBorder="1"/>
    <xf numFmtId="0" fontId="36" fillId="0" borderId="16" xfId="0" applyFont="1" applyBorder="1"/>
    <xf numFmtId="0" fontId="0" fillId="0" borderId="31" xfId="0" applyBorder="1"/>
    <xf numFmtId="0" fontId="35" fillId="0" borderId="27" xfId="0" applyFont="1" applyBorder="1"/>
    <xf numFmtId="0" fontId="35" fillId="0" borderId="17" xfId="0" applyFont="1" applyBorder="1"/>
    <xf numFmtId="0" fontId="0" fillId="0" borderId="29" xfId="0" applyBorder="1"/>
    <xf numFmtId="0" fontId="36" fillId="0" borderId="0" xfId="0" applyFont="1" applyBorder="1"/>
    <xf numFmtId="0" fontId="35" fillId="0" borderId="11" xfId="0" applyFont="1" applyBorder="1"/>
    <xf numFmtId="0" fontId="35" fillId="0" borderId="12" xfId="0" applyFont="1" applyBorder="1" applyAlignment="1">
      <alignment horizontal="left"/>
    </xf>
    <xf numFmtId="0" fontId="35" fillId="0" borderId="17" xfId="0" applyFont="1" applyBorder="1" applyAlignment="1">
      <alignment horizontal="left"/>
    </xf>
    <xf numFmtId="0" fontId="35" fillId="0" borderId="13" xfId="0" applyFont="1" applyBorder="1"/>
    <xf numFmtId="0" fontId="35" fillId="0" borderId="14" xfId="0" applyFont="1" applyBorder="1" applyAlignment="1">
      <alignment horizontal="left"/>
    </xf>
    <xf numFmtId="0" fontId="36" fillId="0" borderId="12" xfId="0" applyFont="1" applyBorder="1"/>
    <xf numFmtId="0" fontId="36" fillId="0" borderId="14" xfId="0" applyFont="1" applyBorder="1"/>
    <xf numFmtId="0" fontId="35" fillId="0" borderId="11" xfId="0" applyFont="1" applyBorder="1" applyAlignment="1">
      <alignment horizontal="left"/>
    </xf>
    <xf numFmtId="0" fontId="35" fillId="0" borderId="27" xfId="0" applyFont="1" applyBorder="1" applyAlignment="1">
      <alignment horizontal="left"/>
    </xf>
    <xf numFmtId="0" fontId="35" fillId="0" borderId="13" xfId="0" applyFont="1" applyBorder="1" applyAlignment="1">
      <alignment horizontal="left"/>
    </xf>
    <xf numFmtId="0" fontId="0" fillId="6" borderId="13" xfId="0" applyFill="1" applyBorder="1"/>
    <xf numFmtId="0" fontId="0" fillId="6" borderId="0" xfId="0" applyFill="1" applyBorder="1"/>
    <xf numFmtId="0" fontId="37" fillId="0" borderId="0" xfId="0" applyFont="1"/>
    <xf numFmtId="0" fontId="38" fillId="0" borderId="0" xfId="0" applyFont="1"/>
    <xf numFmtId="0" fontId="0" fillId="12" borderId="0" xfId="0" applyFill="1"/>
    <xf numFmtId="0" fontId="44" fillId="0" borderId="9" xfId="0" applyFont="1" applyBorder="1" applyAlignment="1" applyProtection="1">
      <alignment horizontal="center" vertical="center" wrapText="1"/>
    </xf>
    <xf numFmtId="0" fontId="45" fillId="0" borderId="9" xfId="0" applyFont="1" applyBorder="1" applyAlignment="1" applyProtection="1">
      <alignment vertical="center" wrapText="1"/>
    </xf>
    <xf numFmtId="0" fontId="45" fillId="0" borderId="9" xfId="0" applyFont="1" applyBorder="1" applyAlignment="1" applyProtection="1">
      <alignment horizontal="center" vertical="center" wrapText="1"/>
    </xf>
    <xf numFmtId="0" fontId="41" fillId="0" borderId="9" xfId="0" applyFont="1" applyBorder="1" applyAlignment="1" applyProtection="1">
      <alignment horizontal="left" vertical="center"/>
    </xf>
    <xf numFmtId="0" fontId="41" fillId="0" borderId="9" xfId="0" applyFont="1" applyFill="1" applyBorder="1" applyAlignment="1" applyProtection="1">
      <alignment vertical="center" wrapText="1"/>
    </xf>
    <xf numFmtId="0" fontId="52" fillId="0" borderId="9" xfId="0" applyFont="1" applyBorder="1" applyAlignment="1" applyProtection="1">
      <alignment horizontal="center" vertical="center" wrapText="1"/>
    </xf>
    <xf numFmtId="0" fontId="0" fillId="11" borderId="9" xfId="0" applyFill="1" applyBorder="1" applyAlignment="1" applyProtection="1">
      <alignment horizontal="center" vertical="center"/>
    </xf>
    <xf numFmtId="0" fontId="0" fillId="11" borderId="42" xfId="0" applyFill="1" applyBorder="1" applyAlignment="1" applyProtection="1">
      <alignment horizontal="center" vertical="center"/>
    </xf>
    <xf numFmtId="0" fontId="0" fillId="0" borderId="0" xfId="0" applyProtection="1"/>
    <xf numFmtId="0" fontId="0" fillId="0" borderId="0" xfId="0" applyAlignment="1" applyProtection="1"/>
    <xf numFmtId="2" fontId="0" fillId="11" borderId="9" xfId="0" applyNumberForma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0" fillId="0" borderId="0" xfId="0" applyFont="1" applyProtection="1"/>
    <xf numFmtId="0" fontId="9" fillId="0" borderId="0" xfId="0" applyFont="1" applyProtection="1"/>
    <xf numFmtId="0" fontId="5" fillId="4" borderId="9" xfId="0" applyFont="1" applyFill="1" applyBorder="1" applyAlignment="1" applyProtection="1">
      <alignment horizontal="center"/>
    </xf>
    <xf numFmtId="0" fontId="5" fillId="4" borderId="9" xfId="0" applyFont="1" applyFill="1" applyBorder="1" applyAlignment="1" applyProtection="1"/>
    <xf numFmtId="0" fontId="5" fillId="4" borderId="15" xfId="0" applyFont="1" applyFill="1" applyBorder="1" applyAlignment="1" applyProtection="1">
      <alignment horizontal="center" wrapText="1"/>
    </xf>
    <xf numFmtId="0" fontId="5" fillId="4" borderId="15" xfId="0" applyFont="1" applyFill="1" applyBorder="1" applyAlignment="1" applyProtection="1">
      <alignment horizontal="center" vertical="center" wrapText="1"/>
    </xf>
    <xf numFmtId="0" fontId="0" fillId="0" borderId="9" xfId="0" applyFont="1" applyFill="1" applyBorder="1" applyAlignment="1" applyProtection="1">
      <alignment horizontal="center"/>
    </xf>
    <xf numFmtId="0" fontId="5" fillId="0" borderId="9" xfId="0" applyFont="1" applyFill="1" applyBorder="1" applyAlignment="1" applyProtection="1">
      <alignment horizontal="left"/>
    </xf>
    <xf numFmtId="0" fontId="0" fillId="0" borderId="9" xfId="0" applyFont="1" applyFill="1" applyBorder="1" applyAlignment="1" applyProtection="1"/>
    <xf numFmtId="0" fontId="0" fillId="0" borderId="0" xfId="0" applyFill="1" applyAlignment="1" applyProtection="1">
      <alignment horizontal="center"/>
    </xf>
    <xf numFmtId="0" fontId="0" fillId="0" borderId="9" xfId="0" applyFill="1" applyBorder="1" applyAlignment="1" applyProtection="1"/>
    <xf numFmtId="0" fontId="0" fillId="0" borderId="9" xfId="0" applyFill="1" applyBorder="1" applyAlignment="1" applyProtection="1">
      <alignment horizontal="center"/>
    </xf>
    <xf numFmtId="0" fontId="5" fillId="0" borderId="9" xfId="0" applyFont="1" applyFill="1" applyBorder="1" applyAlignment="1" applyProtection="1"/>
    <xf numFmtId="0" fontId="0" fillId="0" borderId="9" xfId="0" applyFill="1" applyBorder="1" applyAlignment="1" applyProtection="1">
      <alignment horizontal="left" indent="2"/>
    </xf>
    <xf numFmtId="0" fontId="14" fillId="0" borderId="9" xfId="0" applyFont="1" applyFill="1" applyBorder="1" applyAlignment="1" applyProtection="1">
      <alignment vertical="top" wrapText="1"/>
    </xf>
    <xf numFmtId="0" fontId="5" fillId="0" borderId="9" xfId="0" applyFont="1" applyFill="1" applyBorder="1" applyAlignment="1" applyProtection="1">
      <alignment wrapText="1"/>
    </xf>
    <xf numFmtId="0" fontId="14" fillId="0" borderId="9" xfId="0" applyFont="1" applyFill="1" applyBorder="1" applyAlignment="1" applyProtection="1"/>
    <xf numFmtId="0" fontId="0" fillId="0" borderId="9" xfId="0" applyFont="1" applyFill="1" applyBorder="1" applyAlignment="1" applyProtection="1">
      <alignment horizontal="center" vertical="center" wrapText="1"/>
    </xf>
    <xf numFmtId="0" fontId="0" fillId="0" borderId="9" xfId="0" applyFill="1" applyBorder="1" applyAlignment="1" applyProtection="1">
      <alignment wrapText="1"/>
    </xf>
    <xf numFmtId="0" fontId="27" fillId="0" borderId="9" xfId="0" applyFont="1" applyFill="1" applyBorder="1" applyAlignment="1" applyProtection="1"/>
    <xf numFmtId="0" fontId="0" fillId="0" borderId="18" xfId="0" applyFont="1" applyFill="1" applyBorder="1" applyAlignment="1" applyProtection="1">
      <alignment horizontal="center"/>
    </xf>
    <xf numFmtId="0" fontId="14" fillId="0" borderId="9" xfId="0" applyFont="1" applyFill="1" applyBorder="1" applyAlignment="1" applyProtection="1">
      <alignment wrapText="1"/>
    </xf>
    <xf numFmtId="0" fontId="27" fillId="11" borderId="9" xfId="0" applyFont="1" applyFill="1" applyBorder="1" applyAlignment="1" applyProtection="1"/>
    <xf numFmtId="0" fontId="27" fillId="0" borderId="9" xfId="0" applyFont="1" applyFill="1" applyBorder="1" applyAlignment="1" applyProtection="1">
      <alignment wrapText="1"/>
    </xf>
    <xf numFmtId="0" fontId="0" fillId="0" borderId="9" xfId="0" applyFont="1" applyBorder="1" applyAlignment="1" applyProtection="1">
      <alignment horizontal="center" vertical="center"/>
    </xf>
    <xf numFmtId="0" fontId="5" fillId="0" borderId="9" xfId="0" applyFont="1" applyBorder="1" applyAlignment="1" applyProtection="1">
      <alignment horizontal="left" vertical="center"/>
    </xf>
    <xf numFmtId="0" fontId="0" fillId="0" borderId="0" xfId="0" applyFont="1" applyBorder="1" applyAlignment="1" applyProtection="1">
      <alignment horizontal="center"/>
    </xf>
    <xf numFmtId="0" fontId="0" fillId="0" borderId="0" xfId="0" applyBorder="1" applyAlignment="1" applyProtection="1">
      <alignment horizontal="center"/>
    </xf>
    <xf numFmtId="0" fontId="5" fillId="0" borderId="0" xfId="0" applyFont="1" applyBorder="1" applyAlignment="1" applyProtection="1">
      <alignment vertical="center"/>
    </xf>
    <xf numFmtId="0" fontId="0" fillId="0" borderId="0" xfId="0" applyFill="1" applyBorder="1" applyAlignment="1" applyProtection="1">
      <alignment horizontal="left"/>
    </xf>
    <xf numFmtId="0" fontId="5" fillId="0" borderId="0" xfId="0" applyFont="1" applyBorder="1" applyAlignment="1" applyProtection="1">
      <alignment horizontal="left"/>
    </xf>
    <xf numFmtId="0" fontId="0" fillId="0" borderId="0" xfId="0" applyBorder="1" applyAlignment="1" applyProtection="1">
      <alignment horizontal="left" vertical="center" wrapText="1"/>
    </xf>
    <xf numFmtId="0" fontId="0" fillId="11" borderId="0" xfId="0" applyFill="1" applyBorder="1" applyAlignment="1" applyProtection="1">
      <alignment horizontal="left"/>
    </xf>
    <xf numFmtId="0" fontId="0" fillId="11" borderId="0" xfId="0" applyFill="1" applyBorder="1" applyAlignment="1" applyProtection="1">
      <alignment horizontal="center"/>
    </xf>
    <xf numFmtId="0" fontId="0" fillId="11" borderId="0" xfId="0" applyFill="1" applyBorder="1" applyProtection="1"/>
    <xf numFmtId="0" fontId="2" fillId="0" borderId="5" xfId="0" applyFont="1" applyBorder="1" applyAlignment="1" applyProtection="1">
      <alignment vertical="center" wrapText="1"/>
    </xf>
    <xf numFmtId="0" fontId="2" fillId="7" borderId="9" xfId="0" applyFont="1" applyFill="1" applyBorder="1" applyAlignment="1" applyProtection="1">
      <alignment vertical="center" wrapText="1"/>
    </xf>
    <xf numFmtId="0" fontId="2" fillId="0" borderId="9" xfId="0" applyFont="1" applyBorder="1" applyAlignment="1" applyProtection="1">
      <alignment vertical="center" wrapText="1"/>
    </xf>
    <xf numFmtId="165" fontId="0" fillId="0" borderId="0" xfId="0" applyNumberFormat="1" applyProtection="1"/>
    <xf numFmtId="2" fontId="0" fillId="12" borderId="9" xfId="0" applyNumberFormat="1" applyFill="1" applyBorder="1"/>
    <xf numFmtId="2" fontId="0" fillId="6" borderId="9" xfId="0" applyNumberFormat="1" applyFill="1" applyBorder="1"/>
    <xf numFmtId="0" fontId="0" fillId="0" borderId="9" xfId="0" applyBorder="1" applyProtection="1"/>
    <xf numFmtId="2" fontId="5" fillId="11" borderId="42" xfId="0" applyNumberFormat="1" applyFont="1" applyFill="1" applyBorder="1" applyAlignment="1" applyProtection="1">
      <alignment horizontal="center" vertical="center"/>
    </xf>
    <xf numFmtId="0" fontId="5" fillId="11" borderId="9" xfId="0" applyFont="1" applyFill="1" applyBorder="1" applyAlignment="1" applyProtection="1">
      <alignment horizontal="center" vertical="center"/>
    </xf>
    <xf numFmtId="0" fontId="0" fillId="10" borderId="0" xfId="0" applyFill="1"/>
    <xf numFmtId="0" fontId="54" fillId="10" borderId="0" xfId="0" applyFont="1" applyFill="1"/>
    <xf numFmtId="0" fontId="0" fillId="6" borderId="9" xfId="0" applyFill="1" applyBorder="1" applyAlignment="1">
      <alignment horizontal="center" vertical="center"/>
    </xf>
    <xf numFmtId="0" fontId="0" fillId="6" borderId="13" xfId="0" applyFill="1" applyBorder="1" applyAlignment="1">
      <alignment horizontal="center" vertical="center"/>
    </xf>
    <xf numFmtId="0" fontId="0" fillId="0" borderId="0" xfId="0" applyBorder="1" applyAlignment="1">
      <alignment horizontal="center" vertical="center"/>
    </xf>
    <xf numFmtId="165" fontId="0" fillId="12" borderId="9" xfId="0" applyNumberFormat="1" applyFill="1" applyBorder="1" applyAlignment="1">
      <alignment horizontal="center"/>
    </xf>
    <xf numFmtId="2" fontId="0" fillId="12" borderId="9" xfId="0" applyNumberFormat="1" applyFill="1" applyBorder="1" applyAlignment="1">
      <alignment horizontal="center"/>
    </xf>
    <xf numFmtId="2" fontId="0" fillId="6" borderId="0" xfId="0" applyNumberFormat="1" applyFill="1" applyBorder="1"/>
    <xf numFmtId="0" fontId="0" fillId="12" borderId="9" xfId="0" applyFill="1" applyBorder="1" applyAlignment="1">
      <alignment horizontal="center"/>
    </xf>
    <xf numFmtId="0" fontId="35" fillId="0" borderId="0" xfId="0" applyFont="1" applyBorder="1" applyAlignment="1">
      <alignment horizontal="center"/>
    </xf>
    <xf numFmtId="2" fontId="0" fillId="0" borderId="0" xfId="0" applyNumberFormat="1"/>
    <xf numFmtId="2" fontId="0" fillId="6" borderId="13" xfId="0" applyNumberFormat="1" applyFill="1" applyBorder="1" applyAlignment="1">
      <alignment horizontal="center" vertical="center"/>
    </xf>
    <xf numFmtId="1" fontId="0" fillId="6" borderId="9" xfId="0" applyNumberFormat="1" applyFill="1" applyBorder="1"/>
    <xf numFmtId="0" fontId="1" fillId="0" borderId="9" xfId="0" applyFont="1" applyFill="1" applyBorder="1" applyAlignment="1">
      <alignment vertical="center" wrapText="1"/>
    </xf>
    <xf numFmtId="0" fontId="5" fillId="0" borderId="9" xfId="0" applyFont="1" applyBorder="1"/>
    <xf numFmtId="165" fontId="0" fillId="0" borderId="0" xfId="0" applyNumberFormat="1" applyAlignment="1">
      <alignment horizontal="center"/>
    </xf>
    <xf numFmtId="165" fontId="0" fillId="0" borderId="9" xfId="0" applyNumberFormat="1" applyBorder="1"/>
    <xf numFmtId="0" fontId="0" fillId="11" borderId="0" xfId="0" applyFill="1" applyProtection="1"/>
    <xf numFmtId="0" fontId="0" fillId="11" borderId="0" xfId="0" applyFill="1" applyAlignment="1" applyProtection="1"/>
    <xf numFmtId="0" fontId="5" fillId="11" borderId="41" xfId="0" applyFont="1" applyFill="1" applyBorder="1" applyAlignment="1" applyProtection="1">
      <alignment horizontal="center" vertical="center"/>
    </xf>
    <xf numFmtId="0" fontId="5" fillId="11" borderId="9" xfId="0" applyFont="1" applyFill="1" applyBorder="1" applyAlignment="1" applyProtection="1">
      <alignment vertical="center" wrapText="1"/>
    </xf>
    <xf numFmtId="0" fontId="5" fillId="11" borderId="42" xfId="0" applyFont="1" applyFill="1" applyBorder="1" applyAlignment="1" applyProtection="1">
      <alignment horizontal="center" vertical="center"/>
    </xf>
    <xf numFmtId="0" fontId="0" fillId="11" borderId="9" xfId="0" applyFill="1" applyBorder="1" applyAlignment="1" applyProtection="1">
      <alignment vertical="center" wrapText="1"/>
    </xf>
    <xf numFmtId="0" fontId="0" fillId="11" borderId="41" xfId="0" applyFill="1" applyBorder="1" applyAlignment="1" applyProtection="1">
      <alignment horizontal="center" vertical="center"/>
    </xf>
    <xf numFmtId="2" fontId="0" fillId="11" borderId="0" xfId="0" applyNumberFormat="1" applyFill="1" applyBorder="1" applyAlignment="1" applyProtection="1">
      <alignment horizontal="center" vertical="center"/>
    </xf>
    <xf numFmtId="0" fontId="0" fillId="11" borderId="40" xfId="0" applyFill="1" applyBorder="1" applyAlignment="1" applyProtection="1">
      <alignment horizontal="center" vertical="center"/>
    </xf>
    <xf numFmtId="0" fontId="0" fillId="11" borderId="9" xfId="0" applyFill="1" applyBorder="1" applyAlignment="1" applyProtection="1">
      <alignment vertical="top" wrapText="1"/>
    </xf>
    <xf numFmtId="0" fontId="8" fillId="11" borderId="0" xfId="0" applyFont="1" applyFill="1" applyProtection="1"/>
    <xf numFmtId="0" fontId="29" fillId="11" borderId="41" xfId="0" applyFont="1" applyFill="1" applyBorder="1" applyAlignment="1" applyProtection="1">
      <alignment horizontal="center" vertical="center"/>
    </xf>
    <xf numFmtId="0" fontId="29" fillId="11" borderId="9" xfId="0" applyFont="1" applyFill="1" applyBorder="1" applyAlignment="1" applyProtection="1">
      <alignment vertical="center" wrapText="1"/>
    </xf>
    <xf numFmtId="0" fontId="32" fillId="11" borderId="41" xfId="0" applyFont="1" applyFill="1" applyBorder="1" applyAlignment="1" applyProtection="1">
      <alignment horizontal="center" vertical="center"/>
    </xf>
    <xf numFmtId="0" fontId="29" fillId="11" borderId="9" xfId="0" applyFont="1" applyFill="1" applyBorder="1" applyAlignment="1" applyProtection="1">
      <alignment vertical="center"/>
    </xf>
    <xf numFmtId="0" fontId="5" fillId="11" borderId="9" xfId="0" applyFont="1" applyFill="1" applyBorder="1" applyAlignment="1" applyProtection="1">
      <alignment vertical="top" wrapText="1"/>
    </xf>
    <xf numFmtId="2" fontId="0" fillId="11" borderId="42" xfId="0" applyNumberFormat="1" applyFill="1" applyBorder="1" applyAlignment="1" applyProtection="1">
      <alignment horizontal="center" vertical="center"/>
    </xf>
    <xf numFmtId="2" fontId="0" fillId="11" borderId="9" xfId="0" applyNumberFormat="1" applyFill="1" applyBorder="1" applyAlignment="1" applyProtection="1">
      <alignment horizontal="center"/>
    </xf>
    <xf numFmtId="2" fontId="0" fillId="11" borderId="0" xfId="0" applyNumberFormat="1" applyFill="1" applyProtection="1"/>
    <xf numFmtId="0" fontId="0" fillId="11" borderId="41" xfId="0" applyFill="1" applyBorder="1" applyAlignment="1" applyProtection="1">
      <alignment horizontal="center" vertical="top"/>
    </xf>
    <xf numFmtId="0" fontId="0" fillId="11" borderId="9" xfId="0" applyFill="1" applyBorder="1" applyAlignment="1" applyProtection="1">
      <alignment horizontal="center" vertical="top"/>
    </xf>
    <xf numFmtId="0" fontId="0" fillId="11" borderId="0" xfId="0" applyFill="1" applyAlignment="1" applyProtection="1">
      <alignment vertical="top"/>
    </xf>
    <xf numFmtId="0" fontId="0" fillId="11" borderId="56" xfId="0" applyFill="1" applyBorder="1" applyAlignment="1" applyProtection="1">
      <alignment horizontal="center" vertical="center"/>
    </xf>
    <xf numFmtId="0" fontId="0" fillId="11" borderId="18" xfId="0" applyFill="1" applyBorder="1" applyAlignment="1" applyProtection="1">
      <alignment horizontal="center" vertical="center"/>
    </xf>
    <xf numFmtId="2" fontId="0" fillId="11" borderId="24" xfId="0" applyNumberFormat="1" applyFill="1" applyBorder="1" applyAlignment="1" applyProtection="1">
      <alignment horizontal="center" vertical="center"/>
    </xf>
    <xf numFmtId="0" fontId="30" fillId="11" borderId="41" xfId="0" applyFont="1" applyFill="1" applyBorder="1" applyAlignment="1" applyProtection="1">
      <alignment horizontal="center" vertical="center"/>
    </xf>
    <xf numFmtId="0" fontId="5" fillId="11" borderId="56" xfId="0" applyFont="1" applyFill="1" applyBorder="1" applyAlignment="1" applyProtection="1">
      <alignment horizontal="center" vertical="center"/>
    </xf>
    <xf numFmtId="0" fontId="31" fillId="11" borderId="41" xfId="0" applyFont="1" applyFill="1" applyBorder="1" applyAlignment="1" applyProtection="1">
      <alignment horizontal="center" vertical="center"/>
    </xf>
    <xf numFmtId="0" fontId="29" fillId="11" borderId="0" xfId="0" applyFont="1" applyFill="1" applyBorder="1" applyAlignment="1" applyProtection="1">
      <alignment vertical="center"/>
    </xf>
    <xf numFmtId="0" fontId="8" fillId="11" borderId="0" xfId="0" applyFont="1" applyFill="1" applyAlignment="1" applyProtection="1">
      <alignment vertical="top"/>
    </xf>
    <xf numFmtId="0" fontId="27" fillId="11" borderId="41" xfId="0" applyFont="1" applyFill="1" applyBorder="1" applyAlignment="1" applyProtection="1">
      <alignment horizontal="center" vertical="center"/>
    </xf>
    <xf numFmtId="0" fontId="0" fillId="11" borderId="9" xfId="0" applyFont="1" applyFill="1" applyBorder="1" applyAlignment="1" applyProtection="1">
      <alignment vertical="center" wrapText="1"/>
    </xf>
    <xf numFmtId="0" fontId="33" fillId="11" borderId="56" xfId="0" applyFont="1" applyFill="1" applyBorder="1" applyAlignment="1" applyProtection="1">
      <alignment horizontal="center" vertical="center"/>
    </xf>
    <xf numFmtId="0" fontId="34" fillId="11" borderId="41" xfId="0" applyFont="1" applyFill="1" applyBorder="1" applyAlignment="1" applyProtection="1">
      <alignment horizontal="center" vertical="center"/>
    </xf>
    <xf numFmtId="2" fontId="5" fillId="11" borderId="9" xfId="0" applyNumberFormat="1" applyFont="1" applyFill="1" applyBorder="1" applyAlignment="1" applyProtection="1">
      <alignment horizontal="center" vertical="center"/>
    </xf>
    <xf numFmtId="0" fontId="27" fillId="11" borderId="9" xfId="0" applyFont="1" applyFill="1" applyBorder="1" applyAlignment="1" applyProtection="1">
      <alignment vertical="center" wrapText="1"/>
    </xf>
    <xf numFmtId="0" fontId="27" fillId="11" borderId="9" xfId="0" applyFont="1" applyFill="1" applyBorder="1" applyAlignment="1" applyProtection="1">
      <alignment horizontal="center" vertical="center"/>
    </xf>
    <xf numFmtId="0" fontId="14" fillId="11" borderId="0" xfId="0" applyFont="1" applyFill="1" applyProtection="1"/>
    <xf numFmtId="0" fontId="60" fillId="11" borderId="0" xfId="0" applyFont="1" applyFill="1" applyAlignment="1" applyProtection="1"/>
    <xf numFmtId="0" fontId="0" fillId="8" borderId="9" xfId="0" applyFill="1" applyBorder="1" applyAlignment="1" applyProtection="1">
      <alignment horizontal="center" vertical="center"/>
    </xf>
    <xf numFmtId="0" fontId="0" fillId="0" borderId="9" xfId="0" applyFill="1" applyBorder="1" applyAlignment="1" applyProtection="1">
      <alignment vertical="center"/>
    </xf>
    <xf numFmtId="0" fontId="0" fillId="0" borderId="0" xfId="0" applyAlignment="1" applyProtection="1">
      <alignment vertical="center"/>
    </xf>
    <xf numFmtId="165" fontId="0" fillId="0" borderId="0" xfId="0" applyNumberFormat="1" applyAlignment="1" applyProtection="1">
      <alignment vertical="center"/>
    </xf>
    <xf numFmtId="0" fontId="0" fillId="0" borderId="9" xfId="0" applyFill="1" applyBorder="1" applyAlignment="1" applyProtection="1">
      <alignment horizontal="left" vertical="center"/>
    </xf>
    <xf numFmtId="0" fontId="0" fillId="0" borderId="9" xfId="0" applyBorder="1" applyAlignment="1" applyProtection="1">
      <alignment horizontal="center" vertical="center"/>
    </xf>
    <xf numFmtId="165" fontId="0" fillId="0" borderId="0" xfId="0" applyNumberFormat="1" applyFill="1" applyBorder="1" applyProtection="1"/>
    <xf numFmtId="167" fontId="0" fillId="0" borderId="9" xfId="0" applyNumberFormat="1" applyFill="1" applyBorder="1"/>
    <xf numFmtId="165" fontId="5" fillId="12" borderId="9" xfId="0" applyNumberFormat="1" applyFont="1" applyFill="1" applyBorder="1"/>
    <xf numFmtId="0" fontId="4" fillId="0" borderId="0" xfId="0" applyFont="1" applyAlignment="1" applyProtection="1"/>
    <xf numFmtId="0" fontId="2" fillId="8" borderId="9" xfId="0" applyFont="1" applyFill="1" applyBorder="1" applyAlignment="1" applyProtection="1">
      <alignment vertical="center" wrapText="1"/>
    </xf>
    <xf numFmtId="2" fontId="41" fillId="0" borderId="9" xfId="0" applyNumberFormat="1" applyFont="1" applyBorder="1" applyAlignment="1" applyProtection="1">
      <alignment horizontal="center" vertical="center" wrapText="1"/>
    </xf>
    <xf numFmtId="0" fontId="0" fillId="0" borderId="0" xfId="0" applyFill="1" applyProtection="1"/>
    <xf numFmtId="0" fontId="0" fillId="0" borderId="0" xfId="0" applyBorder="1" applyProtection="1"/>
    <xf numFmtId="168" fontId="0" fillId="11" borderId="9" xfId="0" applyNumberFormat="1" applyFill="1" applyBorder="1" applyAlignment="1" applyProtection="1">
      <alignment horizontal="center" vertical="center"/>
    </xf>
    <xf numFmtId="0" fontId="0" fillId="11" borderId="6" xfId="0" applyFill="1" applyBorder="1" applyAlignment="1" applyProtection="1">
      <alignment vertical="center"/>
    </xf>
    <xf numFmtId="165" fontId="0" fillId="0" borderId="9" xfId="0" applyNumberFormat="1" applyFill="1" applyBorder="1" applyAlignment="1" applyProtection="1">
      <alignment horizontal="center" vertical="center"/>
    </xf>
    <xf numFmtId="0" fontId="4" fillId="0" borderId="0" xfId="0" applyFont="1" applyAlignment="1" applyProtection="1">
      <alignment horizontal="center"/>
    </xf>
    <xf numFmtId="0" fontId="0" fillId="0" borderId="0" xfId="0" applyAlignment="1" applyProtection="1">
      <alignment horizontal="center"/>
    </xf>
    <xf numFmtId="0" fontId="2" fillId="0" borderId="1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11" borderId="9" xfId="0" applyFont="1" applyFill="1" applyBorder="1" applyAlignment="1" applyProtection="1">
      <alignment vertical="center" wrapText="1"/>
    </xf>
    <xf numFmtId="0" fontId="2" fillId="16" borderId="6" xfId="0" applyFont="1" applyFill="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0" fillId="0" borderId="6" xfId="0" applyBorder="1" applyProtection="1"/>
    <xf numFmtId="0" fontId="0" fillId="0" borderId="0" xfId="0" applyAlignment="1" applyProtection="1">
      <alignment vertical="top"/>
    </xf>
    <xf numFmtId="0" fontId="0" fillId="0" borderId="9" xfId="0" applyBorder="1" applyAlignment="1" applyProtection="1">
      <alignment vertical="top" wrapText="1"/>
    </xf>
    <xf numFmtId="0" fontId="16" fillId="0" borderId="0" xfId="0" applyFont="1" applyBorder="1" applyAlignment="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0" fillId="0" borderId="40" xfId="0" applyBorder="1" applyAlignment="1" applyProtection="1">
      <alignment horizontal="center" vertical="center"/>
    </xf>
    <xf numFmtId="0" fontId="2" fillId="0" borderId="0" xfId="0" applyFont="1" applyBorder="1" applyAlignment="1" applyProtection="1">
      <alignment vertical="center"/>
    </xf>
    <xf numFmtId="0" fontId="0" fillId="0" borderId="40" xfId="0" applyBorder="1" applyAlignment="1" applyProtection="1">
      <alignment horizontal="center" vertical="top"/>
    </xf>
    <xf numFmtId="0" fontId="5" fillId="0" borderId="40" xfId="0" applyFont="1" applyBorder="1" applyAlignment="1" applyProtection="1">
      <alignment horizontal="center" vertical="center"/>
    </xf>
    <xf numFmtId="0" fontId="0" fillId="0" borderId="28" xfId="0" applyBorder="1" applyProtection="1"/>
    <xf numFmtId="0" fontId="0" fillId="0" borderId="5" xfId="0" applyBorder="1" applyProtection="1"/>
    <xf numFmtId="0" fontId="2" fillId="0" borderId="0" xfId="0" applyFont="1" applyProtection="1"/>
    <xf numFmtId="0" fontId="0" fillId="0" borderId="0" xfId="0" applyAlignment="1" applyProtection="1">
      <alignment horizontal="center" vertical="top"/>
    </xf>
    <xf numFmtId="0" fontId="1" fillId="11" borderId="9" xfId="0" applyFont="1" applyFill="1" applyBorder="1" applyAlignment="1" applyProtection="1">
      <alignment horizontal="center" vertical="top" wrapText="1"/>
    </xf>
    <xf numFmtId="0" fontId="0" fillId="0" borderId="40" xfId="0" applyBorder="1" applyAlignment="1" applyProtection="1">
      <alignment horizontal="center"/>
    </xf>
    <xf numFmtId="0" fontId="2" fillId="11" borderId="9" xfId="0" applyFont="1" applyFill="1" applyBorder="1" applyAlignment="1" applyProtection="1">
      <alignment horizontal="center" vertical="top" wrapText="1"/>
    </xf>
    <xf numFmtId="0" fontId="2" fillId="11" borderId="9" xfId="0" applyFont="1" applyFill="1" applyBorder="1" applyAlignment="1" applyProtection="1">
      <alignment vertical="top" wrapText="1"/>
    </xf>
    <xf numFmtId="0" fontId="0" fillId="0" borderId="40" xfId="0" applyBorder="1" applyAlignment="1" applyProtection="1">
      <alignment vertical="top"/>
    </xf>
    <xf numFmtId="0" fontId="0" fillId="0" borderId="6" xfId="0" applyBorder="1" applyAlignment="1" applyProtection="1">
      <alignment wrapText="1"/>
    </xf>
    <xf numFmtId="0" fontId="1" fillId="11" borderId="9" xfId="0" applyFont="1" applyFill="1" applyBorder="1" applyAlignment="1" applyProtection="1">
      <alignment vertical="top" wrapText="1"/>
    </xf>
    <xf numFmtId="0" fontId="0" fillId="11" borderId="9" xfId="0" applyFont="1" applyFill="1" applyBorder="1" applyAlignment="1" applyProtection="1">
      <alignment horizontal="left" vertical="top"/>
    </xf>
    <xf numFmtId="0" fontId="2" fillId="11" borderId="9" xfId="0" applyFont="1" applyFill="1" applyBorder="1" applyAlignment="1" applyProtection="1">
      <alignment horizontal="left" vertical="center" wrapText="1"/>
    </xf>
    <xf numFmtId="165" fontId="2" fillId="11" borderId="9" xfId="0" applyNumberFormat="1" applyFont="1" applyFill="1" applyBorder="1" applyAlignment="1" applyProtection="1">
      <alignment horizontal="center" vertical="center" wrapText="1"/>
    </xf>
    <xf numFmtId="0" fontId="2" fillId="11" borderId="9" xfId="0" applyFont="1" applyFill="1" applyBorder="1" applyAlignment="1" applyProtection="1">
      <alignment horizontal="left" vertical="top" wrapText="1"/>
    </xf>
    <xf numFmtId="2" fontId="2" fillId="11" borderId="9" xfId="0" applyNumberFormat="1" applyFont="1" applyFill="1" applyBorder="1" applyAlignment="1" applyProtection="1">
      <alignment horizontal="center" vertical="center" wrapText="1"/>
    </xf>
    <xf numFmtId="0" fontId="0" fillId="0" borderId="29" xfId="0" applyBorder="1" applyAlignment="1" applyProtection="1">
      <alignment horizontal="center" vertical="center"/>
    </xf>
    <xf numFmtId="0" fontId="0" fillId="0" borderId="28" xfId="0" applyBorder="1" applyAlignment="1" applyProtection="1">
      <alignment vertical="center"/>
    </xf>
    <xf numFmtId="0" fontId="0" fillId="0" borderId="5" xfId="0" applyBorder="1" applyAlignment="1" applyProtection="1">
      <alignment vertical="center"/>
    </xf>
    <xf numFmtId="0" fontId="0" fillId="11" borderId="9" xfId="0" applyFill="1" applyBorder="1" applyAlignment="1" applyProtection="1">
      <alignment vertical="center"/>
    </xf>
    <xf numFmtId="0" fontId="2" fillId="0" borderId="40" xfId="0" applyFont="1" applyBorder="1" applyAlignment="1" applyProtection="1">
      <alignment horizontal="center" vertical="center"/>
    </xf>
    <xf numFmtId="0" fontId="1" fillId="5" borderId="9" xfId="0" applyFont="1" applyFill="1" applyBorder="1" applyAlignment="1" applyProtection="1">
      <alignment horizontal="center" vertical="center"/>
    </xf>
    <xf numFmtId="0" fontId="1" fillId="5" borderId="9" xfId="0" applyFont="1" applyFill="1" applyBorder="1" applyAlignment="1" applyProtection="1">
      <alignment horizontal="center" vertical="center" wrapText="1"/>
    </xf>
    <xf numFmtId="0" fontId="0" fillId="0" borderId="42" xfId="0" applyBorder="1" applyProtection="1"/>
    <xf numFmtId="0" fontId="1" fillId="0" borderId="9" xfId="0" applyFont="1" applyBorder="1" applyAlignment="1" applyProtection="1">
      <alignment vertical="center" wrapText="1"/>
    </xf>
    <xf numFmtId="0" fontId="2" fillId="0" borderId="0" xfId="0" applyFont="1" applyBorder="1" applyAlignment="1" applyProtection="1">
      <alignment vertical="top"/>
    </xf>
    <xf numFmtId="0" fontId="2" fillId="0" borderId="6" xfId="0" applyFont="1" applyBorder="1" applyAlignment="1" applyProtection="1">
      <alignment vertical="top"/>
    </xf>
    <xf numFmtId="0" fontId="2" fillId="0" borderId="41" xfId="0" applyFont="1" applyBorder="1" applyAlignment="1" applyProtection="1">
      <alignment horizontal="center" vertical="top" wrapText="1"/>
    </xf>
    <xf numFmtId="0" fontId="2" fillId="0" borderId="9" xfId="0" applyFont="1" applyBorder="1" applyAlignment="1" applyProtection="1">
      <alignment vertical="top" wrapText="1"/>
    </xf>
    <xf numFmtId="0" fontId="0" fillId="0" borderId="42" xfId="0" applyBorder="1" applyAlignment="1" applyProtection="1">
      <alignment vertical="top"/>
    </xf>
    <xf numFmtId="164" fontId="1" fillId="0" borderId="41" xfId="0" applyNumberFormat="1" applyFont="1" applyBorder="1" applyAlignment="1" applyProtection="1">
      <alignment horizontal="center" vertical="top" wrapText="1"/>
    </xf>
    <xf numFmtId="0" fontId="2" fillId="0" borderId="0" xfId="0" applyFont="1" applyBorder="1" applyAlignment="1" applyProtection="1">
      <alignment horizontal="left" vertical="top"/>
    </xf>
    <xf numFmtId="0" fontId="2" fillId="0" borderId="15" xfId="0" applyFont="1" applyFill="1" applyBorder="1" applyAlignment="1" applyProtection="1">
      <alignment vertical="top" wrapText="1"/>
    </xf>
    <xf numFmtId="0" fontId="2" fillId="0" borderId="9" xfId="0" applyFont="1" applyFill="1" applyBorder="1" applyAlignment="1" applyProtection="1">
      <alignment vertical="top" wrapText="1"/>
    </xf>
    <xf numFmtId="0" fontId="2" fillId="0" borderId="40" xfId="0" applyFont="1" applyBorder="1" applyAlignment="1" applyProtection="1">
      <alignment horizontal="center" vertical="top"/>
    </xf>
    <xf numFmtId="165" fontId="2" fillId="7" borderId="9" xfId="0" applyNumberFormat="1" applyFont="1" applyFill="1" applyBorder="1" applyAlignment="1" applyProtection="1">
      <alignment horizontal="left" vertical="top"/>
    </xf>
    <xf numFmtId="0" fontId="2" fillId="7" borderId="9" xfId="0" applyFont="1" applyFill="1" applyBorder="1" applyAlignment="1" applyProtection="1">
      <alignment horizontal="left" vertical="top"/>
    </xf>
    <xf numFmtId="164" fontId="2" fillId="0" borderId="40" xfId="0" applyNumberFormat="1" applyFont="1" applyBorder="1" applyAlignment="1" applyProtection="1">
      <alignment horizontal="center" vertical="top"/>
    </xf>
    <xf numFmtId="0" fontId="1" fillId="0" borderId="0" xfId="0" applyFont="1" applyBorder="1" applyAlignment="1" applyProtection="1">
      <alignment vertical="top"/>
    </xf>
    <xf numFmtId="0" fontId="1" fillId="0" borderId="9" xfId="0" applyFont="1" applyBorder="1" applyAlignment="1" applyProtection="1">
      <alignment vertical="top" wrapText="1"/>
    </xf>
    <xf numFmtId="1" fontId="2" fillId="0" borderId="9" xfId="0" applyNumberFormat="1" applyFont="1" applyFill="1" applyBorder="1" applyAlignment="1" applyProtection="1">
      <alignment horizontal="left" vertical="top"/>
    </xf>
    <xf numFmtId="0" fontId="2" fillId="0" borderId="9" xfId="0" applyFont="1" applyFill="1" applyBorder="1" applyAlignment="1" applyProtection="1">
      <alignment horizontal="left" vertical="top"/>
    </xf>
    <xf numFmtId="0" fontId="8" fillId="0" borderId="42" xfId="0" applyFont="1" applyBorder="1" applyAlignment="1" applyProtection="1">
      <alignment vertical="top"/>
    </xf>
    <xf numFmtId="164" fontId="13" fillId="0" borderId="41" xfId="0" applyNumberFormat="1" applyFont="1" applyBorder="1" applyAlignment="1" applyProtection="1">
      <alignment horizontal="center" vertical="top" wrapText="1"/>
    </xf>
    <xf numFmtId="165" fontId="13" fillId="7" borderId="9" xfId="0" applyNumberFormat="1" applyFont="1" applyFill="1" applyBorder="1" applyAlignment="1" applyProtection="1">
      <alignment horizontal="left" vertical="top" wrapText="1"/>
    </xf>
    <xf numFmtId="0" fontId="0" fillId="0" borderId="0" xfId="0" applyBorder="1" applyAlignment="1" applyProtection="1">
      <alignment horizontal="left" vertical="top"/>
    </xf>
    <xf numFmtId="0" fontId="0" fillId="0" borderId="6" xfId="0" applyBorder="1" applyAlignment="1" applyProtection="1">
      <alignment horizontal="left" vertical="top"/>
    </xf>
    <xf numFmtId="164" fontId="2" fillId="0" borderId="41" xfId="0" applyNumberFormat="1" applyFont="1" applyBorder="1" applyAlignment="1" applyProtection="1">
      <alignment horizontal="center" vertical="top" wrapText="1"/>
    </xf>
    <xf numFmtId="0" fontId="2" fillId="0" borderId="0" xfId="0" applyFont="1" applyBorder="1" applyAlignment="1" applyProtection="1">
      <alignment horizontal="center" vertical="center"/>
    </xf>
    <xf numFmtId="0" fontId="2" fillId="0" borderId="28" xfId="0" applyFont="1" applyBorder="1" applyAlignment="1" applyProtection="1">
      <alignment vertical="center"/>
    </xf>
    <xf numFmtId="0" fontId="0" fillId="0" borderId="28" xfId="0" applyBorder="1" applyAlignment="1" applyProtection="1">
      <alignment horizontal="center"/>
    </xf>
    <xf numFmtId="0" fontId="1" fillId="0" borderId="41" xfId="0" applyFont="1" applyBorder="1" applyAlignment="1" applyProtection="1">
      <alignment horizontal="center" vertical="center" wrapText="1"/>
    </xf>
    <xf numFmtId="0" fontId="13" fillId="0" borderId="25" xfId="0" applyFont="1" applyBorder="1" applyAlignment="1" applyProtection="1">
      <alignment horizontal="left" vertical="center" wrapText="1"/>
    </xf>
    <xf numFmtId="0" fontId="13" fillId="0" borderId="41" xfId="0" applyFont="1" applyBorder="1" applyAlignment="1" applyProtection="1">
      <alignment horizontal="center" vertical="top" wrapText="1"/>
    </xf>
    <xf numFmtId="0" fontId="13" fillId="0" borderId="9" xfId="0" applyFont="1" applyBorder="1" applyAlignment="1" applyProtection="1">
      <alignment vertical="top" wrapText="1"/>
    </xf>
    <xf numFmtId="0" fontId="13" fillId="0" borderId="19" xfId="0" applyFont="1" applyBorder="1" applyAlignment="1" applyProtection="1">
      <alignment horizontal="left" vertical="top" wrapText="1"/>
    </xf>
    <xf numFmtId="0" fontId="2" fillId="0" borderId="9" xfId="0" applyFont="1" applyFill="1" applyBorder="1" applyAlignment="1" applyProtection="1">
      <alignment vertical="center" wrapText="1"/>
    </xf>
    <xf numFmtId="0" fontId="2" fillId="0" borderId="53" xfId="0" applyFont="1" applyBorder="1" applyAlignment="1" applyProtection="1">
      <alignment horizontal="center" vertical="top" wrapText="1"/>
    </xf>
    <xf numFmtId="0" fontId="26" fillId="5" borderId="41" xfId="0" applyFont="1" applyFill="1" applyBorder="1" applyAlignment="1" applyProtection="1">
      <alignment horizontal="center" vertical="center"/>
    </xf>
    <xf numFmtId="0" fontId="26" fillId="4" borderId="9" xfId="0" applyFont="1" applyFill="1" applyBorder="1" applyAlignment="1" applyProtection="1">
      <alignment vertical="center" wrapText="1"/>
    </xf>
    <xf numFmtId="0" fontId="13" fillId="0" borderId="9" xfId="0" applyFont="1" applyFill="1" applyBorder="1" applyAlignment="1" applyProtection="1">
      <alignment vertical="center" wrapText="1"/>
    </xf>
    <xf numFmtId="0" fontId="13" fillId="0" borderId="41" xfId="0" applyFont="1" applyBorder="1" applyAlignment="1" applyProtection="1">
      <alignment horizontal="center" vertical="center" wrapText="1"/>
    </xf>
    <xf numFmtId="0" fontId="2" fillId="0" borderId="42" xfId="0" applyFont="1" applyBorder="1" applyAlignment="1" applyProtection="1">
      <alignment vertical="center" wrapText="1"/>
    </xf>
    <xf numFmtId="1" fontId="13" fillId="7" borderId="9" xfId="0" applyNumberFormat="1" applyFont="1" applyFill="1" applyBorder="1" applyAlignment="1" applyProtection="1">
      <alignment horizontal="left" vertical="center"/>
    </xf>
    <xf numFmtId="165" fontId="13" fillId="0" borderId="42" xfId="0" applyNumberFormat="1" applyFont="1" applyFill="1" applyBorder="1" applyAlignment="1" applyProtection="1">
      <alignment horizontal="left" vertical="center"/>
    </xf>
    <xf numFmtId="0" fontId="2" fillId="0" borderId="24" xfId="0" applyFont="1" applyBorder="1" applyAlignment="1" applyProtection="1">
      <alignment vertical="top" wrapText="1"/>
    </xf>
    <xf numFmtId="165" fontId="13" fillId="7" borderId="9" xfId="0" applyNumberFormat="1" applyFont="1" applyFill="1" applyBorder="1" applyAlignment="1" applyProtection="1">
      <alignment horizontal="left" vertical="center"/>
    </xf>
    <xf numFmtId="165" fontId="13" fillId="0" borderId="6" xfId="0" applyNumberFormat="1" applyFont="1" applyFill="1" applyBorder="1" applyAlignment="1" applyProtection="1">
      <alignment horizontal="left" vertical="center"/>
    </xf>
    <xf numFmtId="0" fontId="2" fillId="0" borderId="24" xfId="0" applyFont="1" applyBorder="1" applyAlignment="1" applyProtection="1">
      <alignment horizontal="center" vertical="center" wrapText="1"/>
    </xf>
    <xf numFmtId="0" fontId="14" fillId="0" borderId="9" xfId="0" applyFont="1" applyFill="1" applyBorder="1" applyProtection="1"/>
    <xf numFmtId="0" fontId="20" fillId="0" borderId="6" xfId="0" applyFont="1" applyBorder="1" applyAlignment="1" applyProtection="1">
      <alignment vertical="top"/>
    </xf>
    <xf numFmtId="0" fontId="14" fillId="0" borderId="41" xfId="0" applyFont="1" applyBorder="1" applyAlignment="1" applyProtection="1">
      <alignment horizontal="center" vertical="center"/>
    </xf>
    <xf numFmtId="0" fontId="14" fillId="0" borderId="0" xfId="0" applyFont="1" applyBorder="1" applyAlignment="1" applyProtection="1">
      <alignment vertical="top" wrapText="1"/>
    </xf>
    <xf numFmtId="164" fontId="13" fillId="7" borderId="9" xfId="0" applyNumberFormat="1" applyFont="1" applyFill="1" applyBorder="1" applyAlignment="1" applyProtection="1">
      <alignment vertical="center"/>
    </xf>
    <xf numFmtId="0" fontId="13" fillId="0" borderId="9" xfId="0" applyFont="1" applyFill="1" applyBorder="1" applyAlignment="1" applyProtection="1">
      <alignment vertical="center"/>
    </xf>
    <xf numFmtId="0" fontId="13" fillId="7" borderId="9" xfId="0" applyFont="1" applyFill="1" applyBorder="1" applyAlignment="1" applyProtection="1">
      <alignment vertical="center"/>
    </xf>
    <xf numFmtId="0" fontId="13" fillId="0" borderId="6" xfId="0" applyFont="1" applyFill="1" applyBorder="1" applyAlignment="1" applyProtection="1">
      <alignment vertical="center" wrapText="1"/>
    </xf>
    <xf numFmtId="164" fontId="13" fillId="0" borderId="9" xfId="0" applyNumberFormat="1" applyFont="1" applyFill="1" applyBorder="1" applyAlignment="1" applyProtection="1">
      <alignment vertical="center"/>
    </xf>
    <xf numFmtId="164" fontId="13" fillId="0" borderId="42" xfId="0" applyNumberFormat="1" applyFont="1" applyFill="1" applyBorder="1" applyAlignment="1" applyProtection="1">
      <alignment vertical="center" wrapText="1"/>
    </xf>
    <xf numFmtId="0" fontId="14" fillId="0" borderId="24" xfId="0" applyFont="1" applyBorder="1" applyAlignment="1" applyProtection="1">
      <alignment horizontal="left" vertical="top" wrapText="1"/>
    </xf>
    <xf numFmtId="0" fontId="14" fillId="0" borderId="9" xfId="0" applyFont="1" applyFill="1" applyBorder="1" applyAlignment="1" applyProtection="1">
      <alignment horizontal="left" vertical="top" wrapText="1"/>
    </xf>
    <xf numFmtId="166" fontId="13" fillId="0" borderId="42" xfId="0" applyNumberFormat="1" applyFont="1" applyFill="1" applyBorder="1" applyAlignment="1" applyProtection="1">
      <alignment horizontal="center" vertical="center"/>
    </xf>
    <xf numFmtId="1" fontId="13" fillId="0" borderId="53" xfId="0" applyNumberFormat="1" applyFont="1" applyBorder="1" applyAlignment="1" applyProtection="1">
      <alignment horizontal="center" vertical="top" wrapText="1"/>
    </xf>
    <xf numFmtId="0" fontId="13" fillId="0" borderId="54" xfId="0" applyFont="1" applyBorder="1" applyAlignment="1" applyProtection="1">
      <alignment vertical="top" wrapText="1"/>
    </xf>
    <xf numFmtId="0" fontId="13" fillId="0" borderId="55" xfId="0" applyFont="1" applyBorder="1" applyAlignment="1" applyProtection="1">
      <alignment vertical="top" wrapText="1"/>
    </xf>
    <xf numFmtId="0" fontId="22" fillId="0" borderId="54" xfId="0" applyFont="1" applyBorder="1" applyAlignment="1" applyProtection="1">
      <alignment vertical="top" wrapText="1"/>
    </xf>
    <xf numFmtId="165" fontId="22" fillId="0" borderId="55" xfId="0" applyNumberFormat="1" applyFont="1" applyFill="1" applyBorder="1" applyAlignment="1" applyProtection="1">
      <alignment horizontal="center" vertical="top" wrapText="1"/>
    </xf>
    <xf numFmtId="0" fontId="51" fillId="11" borderId="9" xfId="0" applyFont="1" applyFill="1" applyBorder="1" applyAlignment="1" applyProtection="1">
      <alignment horizontal="left" vertical="center" wrapText="1"/>
    </xf>
    <xf numFmtId="0" fontId="57" fillId="11" borderId="9" xfId="0" applyFont="1" applyFill="1" applyBorder="1" applyAlignment="1" applyProtection="1">
      <alignment horizontal="left" vertical="center"/>
    </xf>
    <xf numFmtId="0" fontId="57" fillId="11" borderId="9" xfId="0" applyFont="1" applyFill="1" applyBorder="1" applyAlignment="1" applyProtection="1">
      <alignment vertical="center"/>
    </xf>
    <xf numFmtId="0" fontId="57" fillId="11" borderId="26" xfId="0" applyFont="1" applyFill="1" applyBorder="1" applyAlignment="1" applyProtection="1">
      <alignment horizontal="left" vertical="center"/>
    </xf>
    <xf numFmtId="0" fontId="59" fillId="11" borderId="28" xfId="0" applyFont="1" applyFill="1" applyBorder="1" applyAlignment="1" applyProtection="1">
      <alignment horizontal="center" vertical="center"/>
    </xf>
    <xf numFmtId="0" fontId="59" fillId="11" borderId="57" xfId="0" applyFont="1" applyFill="1" applyBorder="1" applyAlignment="1" applyProtection="1">
      <alignment horizontal="center" vertical="center"/>
    </xf>
    <xf numFmtId="0" fontId="0" fillId="11" borderId="0" xfId="0" applyFill="1" applyAlignment="1" applyProtection="1">
      <alignment horizontal="center" wrapText="1"/>
    </xf>
    <xf numFmtId="0" fontId="0" fillId="11" borderId="0" xfId="0" applyFill="1" applyAlignment="1" applyProtection="1">
      <alignment horizontal="center"/>
    </xf>
    <xf numFmtId="0" fontId="60" fillId="11" borderId="0" xfId="0" applyFont="1" applyFill="1" applyProtection="1"/>
    <xf numFmtId="0" fontId="5" fillId="11" borderId="24" xfId="0" applyFont="1" applyFill="1" applyBorder="1" applyAlignment="1" applyProtection="1">
      <alignment horizontal="center" vertical="center"/>
    </xf>
    <xf numFmtId="0" fontId="0" fillId="11" borderId="24" xfId="0" applyFill="1" applyBorder="1" applyAlignment="1" applyProtection="1">
      <alignment horizontal="center" vertical="center"/>
    </xf>
    <xf numFmtId="0" fontId="0" fillId="11" borderId="0" xfId="0" applyFill="1" applyBorder="1" applyAlignment="1" applyProtection="1">
      <alignment horizontal="center" vertical="center"/>
    </xf>
    <xf numFmtId="2" fontId="5" fillId="11" borderId="24" xfId="0" applyNumberFormat="1" applyFont="1" applyFill="1" applyBorder="1" applyAlignment="1" applyProtection="1">
      <alignment horizontal="center" vertical="center"/>
    </xf>
    <xf numFmtId="2" fontId="0" fillId="7" borderId="9" xfId="0" applyNumberFormat="1" applyFill="1" applyBorder="1" applyAlignment="1" applyProtection="1">
      <alignment horizontal="center" vertical="center"/>
    </xf>
    <xf numFmtId="0" fontId="28" fillId="4" borderId="41" xfId="0" applyFont="1" applyFill="1" applyBorder="1" applyAlignment="1" applyProtection="1">
      <alignment horizontal="center" vertical="center"/>
    </xf>
    <xf numFmtId="0" fontId="28" fillId="4" borderId="9" xfId="0" applyFont="1" applyFill="1" applyBorder="1" applyAlignment="1" applyProtection="1">
      <alignment vertical="center" wrapText="1"/>
    </xf>
    <xf numFmtId="2" fontId="0" fillId="0" borderId="9" xfId="0" applyNumberFormat="1" applyFill="1" applyBorder="1" applyAlignment="1" applyProtection="1">
      <alignment horizontal="center" vertical="center"/>
    </xf>
    <xf numFmtId="0" fontId="0" fillId="5" borderId="9" xfId="0" applyFill="1" applyBorder="1" applyAlignment="1" applyProtection="1">
      <alignment vertical="top" wrapText="1"/>
    </xf>
    <xf numFmtId="0" fontId="0" fillId="5" borderId="9" xfId="0" applyFill="1" applyBorder="1" applyAlignment="1" applyProtection="1">
      <alignment horizontal="center" vertical="center"/>
    </xf>
    <xf numFmtId="0" fontId="29" fillId="4" borderId="41" xfId="0" applyFont="1" applyFill="1" applyBorder="1" applyAlignment="1" applyProtection="1">
      <alignment horizontal="center" vertical="center"/>
    </xf>
    <xf numFmtId="0" fontId="29" fillId="4" borderId="9" xfId="0" applyFont="1" applyFill="1" applyBorder="1" applyAlignment="1" applyProtection="1">
      <alignment vertical="center" wrapText="1"/>
    </xf>
    <xf numFmtId="0" fontId="0" fillId="5" borderId="40" xfId="0" applyFill="1" applyBorder="1" applyAlignment="1" applyProtection="1">
      <alignment horizontal="center" vertical="center"/>
    </xf>
    <xf numFmtId="0" fontId="61" fillId="5" borderId="43" xfId="0" applyFont="1" applyFill="1" applyBorder="1" applyAlignment="1" applyProtection="1">
      <alignment horizontal="center" vertical="center"/>
    </xf>
    <xf numFmtId="0" fontId="61" fillId="5" borderId="44" xfId="0" applyFont="1" applyFill="1" applyBorder="1" applyAlignment="1" applyProtection="1">
      <alignment horizontal="center" vertical="center" wrapText="1"/>
    </xf>
    <xf numFmtId="0" fontId="61" fillId="5" borderId="44" xfId="0" applyFont="1" applyFill="1" applyBorder="1" applyAlignment="1" applyProtection="1">
      <alignment horizontal="center" vertical="center"/>
    </xf>
    <xf numFmtId="0" fontId="61" fillId="5" borderId="41" xfId="0" applyFont="1" applyFill="1" applyBorder="1" applyAlignment="1" applyProtection="1">
      <alignment horizontal="center" vertical="center"/>
    </xf>
    <xf numFmtId="0" fontId="61" fillId="5" borderId="9" xfId="0" applyFont="1" applyFill="1" applyBorder="1" applyAlignment="1" applyProtection="1">
      <alignment vertical="center" wrapText="1"/>
    </xf>
    <xf numFmtId="0" fontId="61" fillId="5" borderId="9" xfId="0" applyFont="1" applyFill="1" applyBorder="1" applyAlignment="1" applyProtection="1">
      <alignment horizontal="center" vertical="center"/>
    </xf>
    <xf numFmtId="0" fontId="61" fillId="5" borderId="9" xfId="0" applyFont="1" applyFill="1" applyBorder="1" applyAlignment="1" applyProtection="1">
      <alignment horizontal="center" vertical="center" wrapText="1"/>
    </xf>
    <xf numFmtId="0" fontId="5" fillId="5" borderId="41" xfId="0" applyFont="1" applyFill="1" applyBorder="1" applyAlignment="1" applyProtection="1">
      <alignment horizontal="center" vertical="center"/>
    </xf>
    <xf numFmtId="0" fontId="5" fillId="5" borderId="9" xfId="0" applyFont="1" applyFill="1" applyBorder="1" applyAlignment="1" applyProtection="1">
      <alignment vertical="center" wrapText="1"/>
    </xf>
    <xf numFmtId="0" fontId="26" fillId="5" borderId="9" xfId="0" applyFont="1" applyFill="1" applyBorder="1" applyAlignment="1" applyProtection="1">
      <alignment vertical="center" wrapText="1"/>
    </xf>
    <xf numFmtId="0" fontId="27" fillId="4" borderId="41" xfId="0" applyFont="1" applyFill="1" applyBorder="1" applyAlignment="1" applyProtection="1">
      <alignment horizontal="center" vertical="center"/>
    </xf>
    <xf numFmtId="0" fontId="27" fillId="4" borderId="9" xfId="0" applyFont="1" applyFill="1" applyBorder="1" applyAlignment="1" applyProtection="1">
      <alignment vertical="center" wrapText="1"/>
    </xf>
    <xf numFmtId="0" fontId="0" fillId="5" borderId="24" xfId="0" applyFill="1" applyBorder="1" applyAlignment="1" applyProtection="1">
      <alignment horizontal="center" vertical="center"/>
    </xf>
    <xf numFmtId="0" fontId="0" fillId="5" borderId="42" xfId="0" applyFill="1" applyBorder="1" applyAlignment="1" applyProtection="1">
      <alignment horizontal="center" vertical="center"/>
    </xf>
    <xf numFmtId="2" fontId="14" fillId="7" borderId="42" xfId="0" applyNumberFormat="1" applyFont="1" applyFill="1" applyBorder="1" applyAlignment="1" applyProtection="1">
      <alignment horizontal="center" vertical="center"/>
    </xf>
    <xf numFmtId="165" fontId="0" fillId="11" borderId="0" xfId="0" applyNumberFormat="1" applyFill="1" applyBorder="1" applyProtection="1"/>
    <xf numFmtId="0" fontId="0" fillId="11" borderId="0" xfId="0" applyFill="1" applyBorder="1" applyAlignment="1" applyProtection="1">
      <alignment horizontal="right"/>
    </xf>
    <xf numFmtId="0" fontId="0" fillId="11" borderId="0" xfId="0" applyFill="1" applyBorder="1" applyAlignment="1" applyProtection="1">
      <alignment horizontal="right" vertical="top"/>
    </xf>
    <xf numFmtId="0" fontId="0" fillId="0" borderId="24" xfId="0" applyFill="1" applyBorder="1" applyAlignment="1" applyProtection="1">
      <alignment horizontal="center" vertical="center"/>
    </xf>
    <xf numFmtId="164" fontId="0" fillId="0" borderId="9" xfId="0" applyNumberFormat="1" applyFill="1" applyBorder="1" applyAlignment="1" applyProtection="1">
      <alignment horizontal="center" vertical="center"/>
    </xf>
    <xf numFmtId="164" fontId="0" fillId="0" borderId="24" xfId="0" applyNumberFormat="1" applyFill="1" applyBorder="1" applyAlignment="1" applyProtection="1">
      <alignment horizontal="center" vertical="center"/>
    </xf>
    <xf numFmtId="164" fontId="0" fillId="0" borderId="42" xfId="0" applyNumberForma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2" fontId="0" fillId="0" borderId="9" xfId="0" applyNumberFormat="1" applyFill="1" applyBorder="1" applyAlignment="1" applyProtection="1">
      <alignment horizontal="center"/>
    </xf>
    <xf numFmtId="2" fontId="0" fillId="0" borderId="24" xfId="0" applyNumberFormat="1" applyFill="1" applyBorder="1" applyAlignment="1" applyProtection="1">
      <alignment horizontal="center"/>
    </xf>
    <xf numFmtId="0" fontId="0" fillId="0" borderId="42" xfId="0" applyFill="1" applyBorder="1" applyAlignment="1" applyProtection="1">
      <alignment horizontal="center" vertical="center"/>
    </xf>
    <xf numFmtId="2" fontId="0" fillId="7" borderId="42" xfId="0" applyNumberFormat="1" applyFill="1" applyBorder="1" applyAlignment="1" applyProtection="1">
      <alignment horizontal="center" vertical="center"/>
    </xf>
    <xf numFmtId="0" fontId="26" fillId="4" borderId="41" xfId="0" applyFont="1" applyFill="1" applyBorder="1" applyAlignment="1" applyProtection="1">
      <alignment horizontal="center" vertical="center"/>
    </xf>
    <xf numFmtId="0" fontId="34" fillId="4" borderId="41" xfId="0" applyFont="1" applyFill="1" applyBorder="1" applyAlignment="1" applyProtection="1">
      <alignment horizontal="center" vertical="center"/>
    </xf>
    <xf numFmtId="0" fontId="26" fillId="11" borderId="9" xfId="0" applyFont="1" applyFill="1" applyBorder="1" applyAlignment="1" applyProtection="1">
      <alignment vertical="center" wrapText="1"/>
    </xf>
    <xf numFmtId="0" fontId="14" fillId="11" borderId="9" xfId="0" applyFont="1" applyFill="1" applyBorder="1" applyAlignment="1" applyProtection="1">
      <alignment vertical="center" wrapText="1"/>
    </xf>
    <xf numFmtId="0" fontId="14" fillId="11" borderId="9" xfId="0" applyFont="1" applyFill="1" applyBorder="1" applyAlignment="1" applyProtection="1">
      <alignment horizontal="center" vertical="center"/>
    </xf>
    <xf numFmtId="0" fontId="62" fillId="4" borderId="41" xfId="0" applyFont="1" applyFill="1" applyBorder="1" applyAlignment="1" applyProtection="1">
      <alignment horizontal="center" vertical="center"/>
    </xf>
    <xf numFmtId="0" fontId="62" fillId="4" borderId="9" xfId="0" applyFont="1" applyFill="1" applyBorder="1" applyAlignment="1" applyProtection="1">
      <alignment vertical="center" wrapText="1"/>
    </xf>
    <xf numFmtId="0" fontId="34" fillId="11" borderId="9" xfId="0" applyFont="1" applyFill="1" applyBorder="1" applyAlignment="1" applyProtection="1">
      <alignment vertical="center" wrapText="1"/>
    </xf>
    <xf numFmtId="0" fontId="27" fillId="11" borderId="9" xfId="0" applyFont="1" applyFill="1" applyBorder="1" applyAlignment="1" applyProtection="1">
      <alignment vertical="top" wrapText="1"/>
    </xf>
    <xf numFmtId="0" fontId="14" fillId="11" borderId="9" xfId="0" applyFont="1" applyFill="1" applyBorder="1" applyAlignment="1" applyProtection="1">
      <alignment horizontal="center" vertical="top"/>
    </xf>
    <xf numFmtId="0" fontId="14" fillId="11" borderId="41" xfId="0" applyFont="1" applyFill="1" applyBorder="1" applyAlignment="1" applyProtection="1">
      <alignment horizontal="center" vertical="center"/>
    </xf>
    <xf numFmtId="0" fontId="14" fillId="11" borderId="0" xfId="0" applyFont="1" applyFill="1" applyBorder="1" applyAlignment="1" applyProtection="1">
      <alignment vertical="center"/>
    </xf>
    <xf numFmtId="2" fontId="14" fillId="7" borderId="9" xfId="0" applyNumberFormat="1" applyFont="1" applyFill="1" applyBorder="1" applyAlignment="1" applyProtection="1">
      <alignment horizontal="center" vertical="center"/>
    </xf>
    <xf numFmtId="165" fontId="14" fillId="7" borderId="9" xfId="0" applyNumberFormat="1" applyFont="1" applyFill="1" applyBorder="1" applyAlignment="1" applyProtection="1">
      <alignment horizontal="center" vertical="center"/>
    </xf>
    <xf numFmtId="0" fontId="27" fillId="5" borderId="41" xfId="0" applyFont="1" applyFill="1" applyBorder="1" applyAlignment="1" applyProtection="1">
      <alignment horizontal="center" vertical="center"/>
    </xf>
    <xf numFmtId="0" fontId="27" fillId="5" borderId="9" xfId="0" applyFont="1" applyFill="1" applyBorder="1" applyAlignment="1" applyProtection="1">
      <alignment vertical="center" wrapText="1"/>
    </xf>
    <xf numFmtId="0" fontId="14" fillId="5" borderId="9" xfId="0" applyFont="1" applyFill="1" applyBorder="1" applyAlignment="1" applyProtection="1">
      <alignment horizontal="center" vertical="center"/>
    </xf>
    <xf numFmtId="0" fontId="27" fillId="0" borderId="41" xfId="0" applyFont="1" applyFill="1" applyBorder="1" applyAlignment="1" applyProtection="1">
      <alignment horizontal="center" vertical="center"/>
    </xf>
    <xf numFmtId="0" fontId="27" fillId="0" borderId="9" xfId="0" applyFont="1" applyFill="1" applyBorder="1" applyAlignment="1" applyProtection="1">
      <alignment vertical="center" wrapText="1"/>
    </xf>
    <xf numFmtId="0" fontId="34" fillId="0" borderId="9" xfId="0" applyFont="1" applyFill="1" applyBorder="1" applyAlignment="1" applyProtection="1">
      <alignment horizontal="center" vertical="center"/>
    </xf>
    <xf numFmtId="0" fontId="34" fillId="0" borderId="9"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xf>
    <xf numFmtId="0" fontId="14" fillId="0" borderId="9" xfId="0" applyFont="1" applyBorder="1" applyAlignment="1" applyProtection="1">
      <alignment vertical="center" wrapText="1"/>
    </xf>
    <xf numFmtId="0" fontId="14" fillId="0" borderId="9" xfId="0" applyFont="1" applyBorder="1" applyAlignment="1" applyProtection="1">
      <alignment horizontal="center" vertical="center"/>
    </xf>
    <xf numFmtId="0" fontId="14" fillId="0" borderId="9" xfId="0" applyFont="1" applyFill="1" applyBorder="1" applyAlignment="1" applyProtection="1">
      <alignment vertical="center" wrapText="1"/>
    </xf>
    <xf numFmtId="0" fontId="34" fillId="19" borderId="9"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xf>
    <xf numFmtId="0" fontId="14" fillId="0" borderId="41" xfId="0" applyFont="1" applyFill="1" applyBorder="1" applyAlignment="1" applyProtection="1">
      <alignment horizontal="center" vertical="center"/>
    </xf>
    <xf numFmtId="1" fontId="14" fillId="19" borderId="9" xfId="0" applyNumberFormat="1" applyFont="1" applyFill="1" applyBorder="1" applyAlignment="1" applyProtection="1">
      <alignment horizontal="center" vertical="center"/>
      <protection locked="0"/>
    </xf>
    <xf numFmtId="0" fontId="25" fillId="18" borderId="41" xfId="0" applyFont="1" applyFill="1" applyBorder="1" applyAlignment="1" applyProtection="1">
      <alignment horizontal="center" vertical="center"/>
    </xf>
    <xf numFmtId="0" fontId="25" fillId="18" borderId="26" xfId="0" applyFont="1" applyFill="1" applyBorder="1" applyAlignment="1" applyProtection="1">
      <alignment horizontal="center" vertical="center" wrapText="1"/>
    </xf>
    <xf numFmtId="0" fontId="63" fillId="18" borderId="9" xfId="0" applyFont="1" applyFill="1" applyBorder="1" applyAlignment="1" applyProtection="1">
      <alignment horizontal="center" vertical="center"/>
    </xf>
    <xf numFmtId="0" fontId="63" fillId="18" borderId="24" xfId="0" applyFont="1" applyFill="1" applyBorder="1" applyAlignment="1" applyProtection="1">
      <alignment horizontal="center" vertical="center"/>
    </xf>
    <xf numFmtId="0" fontId="63" fillId="18" borderId="42" xfId="0" applyFont="1" applyFill="1" applyBorder="1" applyAlignment="1" applyProtection="1">
      <alignment horizontal="center" vertical="center"/>
    </xf>
    <xf numFmtId="0" fontId="62" fillId="11" borderId="9" xfId="0" applyFont="1" applyFill="1" applyBorder="1" applyAlignment="1" applyProtection="1">
      <alignment vertical="center" wrapText="1"/>
    </xf>
    <xf numFmtId="0" fontId="14" fillId="5" borderId="42" xfId="0" applyFont="1" applyFill="1" applyBorder="1" applyAlignment="1" applyProtection="1">
      <alignment horizontal="center" vertical="center"/>
    </xf>
    <xf numFmtId="0" fontId="64" fillId="5" borderId="41" xfId="0" applyFont="1" applyFill="1" applyBorder="1" applyAlignment="1" applyProtection="1">
      <alignment horizontal="center" vertical="center"/>
    </xf>
    <xf numFmtId="0" fontId="64" fillId="5" borderId="9" xfId="0" applyFont="1" applyFill="1" applyBorder="1" applyAlignment="1" applyProtection="1">
      <alignment vertical="center" wrapText="1"/>
    </xf>
    <xf numFmtId="0" fontId="14" fillId="11" borderId="56" xfId="0" applyFont="1" applyFill="1" applyBorder="1" applyAlignment="1" applyProtection="1">
      <alignment horizontal="center" vertical="center"/>
    </xf>
    <xf numFmtId="0" fontId="14" fillId="11" borderId="40" xfId="0" applyFont="1" applyFill="1" applyBorder="1" applyAlignment="1" applyProtection="1">
      <alignment horizontal="center" vertical="center"/>
    </xf>
    <xf numFmtId="0" fontId="34" fillId="4" borderId="9" xfId="0" applyFont="1" applyFill="1" applyBorder="1" applyAlignment="1" applyProtection="1">
      <alignment vertical="center" wrapText="1"/>
    </xf>
    <xf numFmtId="0" fontId="14" fillId="4" borderId="41" xfId="0" applyFont="1" applyFill="1" applyBorder="1" applyAlignment="1" applyProtection="1">
      <alignment horizontal="center" vertical="center"/>
    </xf>
    <xf numFmtId="0" fontId="27" fillId="7" borderId="9" xfId="0" applyFont="1" applyFill="1" applyBorder="1" applyAlignment="1" applyProtection="1">
      <alignment horizontal="center" vertical="center"/>
    </xf>
    <xf numFmtId="0" fontId="0" fillId="11" borderId="40" xfId="0" applyFill="1" applyBorder="1" applyAlignment="1" applyProtection="1">
      <alignment horizontal="center"/>
    </xf>
    <xf numFmtId="165" fontId="0" fillId="11" borderId="42" xfId="0" applyNumberFormat="1" applyFill="1" applyBorder="1" applyAlignment="1" applyProtection="1">
      <alignment horizontal="center" vertical="center"/>
    </xf>
    <xf numFmtId="0" fontId="29" fillId="11" borderId="41" xfId="0" applyFont="1" applyFill="1" applyBorder="1" applyAlignment="1" applyProtection="1">
      <alignment horizontal="center" vertical="top"/>
    </xf>
    <xf numFmtId="0" fontId="14" fillId="0" borderId="42" xfId="0" applyFont="1" applyFill="1" applyBorder="1" applyAlignment="1" applyProtection="1">
      <alignment horizontal="center" vertical="center"/>
    </xf>
    <xf numFmtId="0" fontId="34" fillId="19" borderId="42" xfId="0" applyFont="1" applyFill="1" applyBorder="1" applyAlignment="1" applyProtection="1">
      <alignment horizontal="center" vertical="center"/>
      <protection locked="0"/>
    </xf>
    <xf numFmtId="0" fontId="27" fillId="7" borderId="42" xfId="0" applyFont="1" applyFill="1" applyBorder="1" applyAlignment="1" applyProtection="1">
      <alignment horizontal="center" vertical="center"/>
    </xf>
    <xf numFmtId="0" fontId="0" fillId="11" borderId="53" xfId="0" applyFont="1" applyFill="1" applyBorder="1" applyAlignment="1" applyProtection="1">
      <alignment horizontal="center" vertical="center"/>
    </xf>
    <xf numFmtId="0" fontId="0" fillId="11" borderId="54" xfId="0" applyFont="1" applyFill="1" applyBorder="1" applyAlignment="1" applyProtection="1">
      <alignment vertical="center" wrapText="1"/>
    </xf>
    <xf numFmtId="0" fontId="0" fillId="11" borderId="54" xfId="0" applyFont="1" applyFill="1" applyBorder="1" applyAlignment="1" applyProtection="1">
      <alignment horizontal="center" vertical="center"/>
    </xf>
    <xf numFmtId="0" fontId="0" fillId="5" borderId="20" xfId="0" applyFill="1" applyBorder="1" applyProtection="1"/>
    <xf numFmtId="0" fontId="0" fillId="19" borderId="22" xfId="0" applyFill="1" applyBorder="1" applyProtection="1"/>
    <xf numFmtId="0" fontId="0" fillId="20" borderId="22" xfId="0" applyFill="1" applyBorder="1" applyProtection="1"/>
    <xf numFmtId="0" fontId="0" fillId="8" borderId="35" xfId="0" applyFill="1" applyBorder="1" applyProtection="1"/>
    <xf numFmtId="0" fontId="25" fillId="0" borderId="0" xfId="0" applyFont="1" applyAlignment="1" applyProtection="1">
      <alignment horizontal="left"/>
    </xf>
    <xf numFmtId="0" fontId="1" fillId="5" borderId="9" xfId="0" applyFont="1" applyFill="1" applyBorder="1" applyAlignment="1" applyProtection="1"/>
    <xf numFmtId="0" fontId="1" fillId="5" borderId="9" xfId="0" applyFont="1" applyFill="1" applyBorder="1" applyAlignment="1" applyProtection="1">
      <alignment horizontal="center"/>
    </xf>
    <xf numFmtId="0" fontId="4" fillId="4" borderId="9" xfId="0" applyFont="1" applyFill="1" applyBorder="1" applyAlignment="1" applyProtection="1">
      <alignment horizontal="center"/>
    </xf>
    <xf numFmtId="0" fontId="4" fillId="4" borderId="9" xfId="0" applyFont="1" applyFill="1" applyBorder="1" applyAlignment="1" applyProtection="1">
      <alignment horizontal="left"/>
    </xf>
    <xf numFmtId="0" fontId="4" fillId="4" borderId="9" xfId="0" applyFont="1" applyFill="1" applyBorder="1" applyAlignment="1" applyProtection="1"/>
    <xf numFmtId="0" fontId="6" fillId="4" borderId="9" xfId="0" applyFont="1" applyFill="1" applyBorder="1" applyProtection="1"/>
    <xf numFmtId="0" fontId="4" fillId="4" borderId="9" xfId="0" applyFont="1" applyFill="1" applyBorder="1" applyAlignment="1" applyProtection="1">
      <alignment horizontal="center" vertical="center"/>
    </xf>
    <xf numFmtId="0" fontId="25" fillId="4" borderId="9" xfId="0" applyFont="1" applyFill="1" applyBorder="1" applyAlignment="1" applyProtection="1"/>
    <xf numFmtId="0" fontId="6" fillId="4" borderId="9" xfId="0" applyFont="1" applyFill="1" applyBorder="1" applyAlignment="1" applyProtection="1"/>
    <xf numFmtId="0" fontId="6" fillId="4" borderId="9" xfId="0" applyFont="1" applyFill="1" applyBorder="1" applyAlignment="1" applyProtection="1">
      <alignment horizontal="center"/>
    </xf>
    <xf numFmtId="0" fontId="6" fillId="4" borderId="9" xfId="0" applyFont="1" applyFill="1" applyBorder="1" applyAlignment="1" applyProtection="1">
      <alignment horizontal="center" vertical="center"/>
    </xf>
    <xf numFmtId="0" fontId="6" fillId="4" borderId="9" xfId="0" applyFont="1" applyFill="1" applyBorder="1" applyAlignment="1" applyProtection="1">
      <alignment vertical="center"/>
    </xf>
    <xf numFmtId="1" fontId="0" fillId="7" borderId="9" xfId="0" applyNumberFormat="1" applyFill="1" applyBorder="1" applyAlignment="1" applyProtection="1">
      <alignment horizontal="center" vertical="center"/>
    </xf>
    <xf numFmtId="0" fontId="66" fillId="5" borderId="9" xfId="0" applyFont="1" applyFill="1" applyBorder="1" applyAlignment="1" applyProtection="1">
      <alignment horizontal="center" vertical="center"/>
    </xf>
    <xf numFmtId="0" fontId="67" fillId="5" borderId="9" xfId="0" applyFont="1" applyFill="1" applyBorder="1" applyAlignment="1" applyProtection="1">
      <alignment horizontal="center" vertical="center"/>
    </xf>
    <xf numFmtId="0" fontId="65" fillId="0" borderId="0" xfId="0" applyFont="1" applyFill="1" applyProtection="1"/>
    <xf numFmtId="0" fontId="44" fillId="0" borderId="9" xfId="0" applyFont="1" applyBorder="1" applyAlignment="1" applyProtection="1">
      <alignment vertical="center" wrapText="1"/>
    </xf>
    <xf numFmtId="0" fontId="0" fillId="7" borderId="9" xfId="0" applyFill="1" applyBorder="1" applyAlignment="1" applyProtection="1">
      <alignment horizontal="center" vertical="center"/>
    </xf>
    <xf numFmtId="165" fontId="0" fillId="7" borderId="9" xfId="0" applyNumberFormat="1" applyFill="1" applyBorder="1" applyAlignment="1" applyProtection="1">
      <alignment horizontal="center" vertical="center"/>
    </xf>
    <xf numFmtId="0" fontId="2" fillId="0" borderId="15" xfId="0" applyFont="1" applyBorder="1" applyAlignment="1" applyProtection="1">
      <alignment vertical="center" wrapText="1"/>
    </xf>
    <xf numFmtId="0" fontId="5" fillId="0" borderId="9" xfId="0" applyFont="1" applyFill="1" applyBorder="1" applyAlignment="1" applyProtection="1">
      <alignment vertical="center" wrapText="1"/>
    </xf>
    <xf numFmtId="0" fontId="5" fillId="0" borderId="9" xfId="0" applyFont="1" applyBorder="1" applyAlignment="1" applyProtection="1">
      <alignment horizontal="left" vertical="center" wrapText="1"/>
    </xf>
    <xf numFmtId="0" fontId="40" fillId="4" borderId="9" xfId="0" applyFont="1" applyFill="1" applyBorder="1" applyAlignment="1" applyProtection="1">
      <alignment horizontal="center" vertical="center" wrapText="1"/>
    </xf>
    <xf numFmtId="0" fontId="40" fillId="4" borderId="9" xfId="0" applyFont="1" applyFill="1" applyBorder="1" applyAlignment="1" applyProtection="1">
      <alignment vertical="center" wrapText="1"/>
    </xf>
    <xf numFmtId="0" fontId="52" fillId="0" borderId="9" xfId="0" applyFont="1" applyBorder="1" applyAlignment="1" applyProtection="1">
      <alignment horizontal="center" vertical="center"/>
    </xf>
    <xf numFmtId="0" fontId="52" fillId="0" borderId="9" xfId="0" applyFont="1" applyBorder="1" applyAlignment="1" applyProtection="1">
      <alignment vertical="center" wrapText="1"/>
    </xf>
    <xf numFmtId="0" fontId="52" fillId="0" borderId="18" xfId="0" applyFont="1" applyFill="1" applyBorder="1" applyAlignment="1" applyProtection="1">
      <alignment horizontal="center" vertical="center"/>
    </xf>
    <xf numFmtId="0" fontId="68" fillId="0" borderId="18" xfId="0" applyFont="1" applyFill="1" applyBorder="1" applyAlignment="1" applyProtection="1">
      <alignment horizontal="center" vertical="center"/>
    </xf>
    <xf numFmtId="0" fontId="68" fillId="0" borderId="9" xfId="0" applyFont="1" applyBorder="1" applyAlignment="1" applyProtection="1">
      <alignment vertical="center" wrapText="1"/>
    </xf>
    <xf numFmtId="0" fontId="41" fillId="4" borderId="9" xfId="0" applyFont="1" applyFill="1" applyBorder="1" applyAlignment="1" applyProtection="1">
      <alignment horizontal="center" vertical="center"/>
    </xf>
    <xf numFmtId="0" fontId="44" fillId="4" borderId="9" xfId="0" applyFont="1" applyFill="1" applyBorder="1" applyAlignment="1" applyProtection="1">
      <alignment vertical="center" wrapText="1"/>
    </xf>
    <xf numFmtId="0" fontId="41" fillId="7" borderId="9" xfId="0" applyFont="1" applyFill="1" applyBorder="1" applyAlignment="1" applyProtection="1">
      <alignment horizontal="center" vertical="center" wrapText="1"/>
    </xf>
    <xf numFmtId="0" fontId="5" fillId="21" borderId="41" xfId="0" applyFont="1" applyFill="1" applyBorder="1" applyAlignment="1" applyProtection="1">
      <alignment horizontal="center" vertical="center"/>
    </xf>
    <xf numFmtId="0" fontId="5" fillId="21" borderId="9" xfId="0" applyFont="1" applyFill="1" applyBorder="1" applyAlignment="1" applyProtection="1">
      <alignment vertical="center" wrapText="1"/>
    </xf>
    <xf numFmtId="0" fontId="5" fillId="8" borderId="41" xfId="0" applyFont="1" applyFill="1" applyBorder="1" applyAlignment="1" applyProtection="1">
      <alignment horizontal="center" vertical="center"/>
    </xf>
    <xf numFmtId="0" fontId="5" fillId="8" borderId="9" xfId="0" applyFont="1" applyFill="1" applyBorder="1" applyAlignment="1" applyProtection="1">
      <alignment vertical="center" wrapText="1"/>
    </xf>
    <xf numFmtId="2" fontId="14" fillId="8" borderId="9" xfId="0" applyNumberFormat="1" applyFont="1" applyFill="1" applyBorder="1" applyAlignment="1" applyProtection="1">
      <alignment horizontal="center" vertical="center"/>
    </xf>
    <xf numFmtId="0" fontId="0" fillId="21" borderId="9" xfId="0" applyFont="1" applyFill="1" applyBorder="1" applyAlignment="1" applyProtection="1">
      <alignment horizontal="center" vertical="center"/>
    </xf>
    <xf numFmtId="0" fontId="0" fillId="8" borderId="40" xfId="0" applyFill="1" applyBorder="1" applyAlignment="1" applyProtection="1">
      <alignment horizontal="center" vertical="center"/>
    </xf>
    <xf numFmtId="0" fontId="5" fillId="8" borderId="9" xfId="0" applyFont="1" applyFill="1" applyBorder="1" applyAlignment="1" applyProtection="1">
      <alignment horizontal="center" vertical="center"/>
    </xf>
    <xf numFmtId="0" fontId="0" fillId="8" borderId="42" xfId="0" applyFill="1" applyBorder="1" applyAlignment="1" applyProtection="1">
      <alignment horizontal="center" vertical="center"/>
    </xf>
    <xf numFmtId="0" fontId="27" fillId="21" borderId="9" xfId="0" applyFont="1" applyFill="1" applyBorder="1" applyAlignment="1" applyProtection="1">
      <alignment vertical="center" wrapText="1"/>
    </xf>
    <xf numFmtId="0" fontId="27" fillId="21" borderId="9" xfId="0" applyFont="1" applyFill="1" applyBorder="1" applyAlignment="1" applyProtection="1">
      <alignment horizontal="center" vertical="center"/>
    </xf>
    <xf numFmtId="2" fontId="5" fillId="21" borderId="42" xfId="0" applyNumberFormat="1" applyFont="1" applyFill="1" applyBorder="1" applyAlignment="1" applyProtection="1">
      <alignment horizontal="center" vertical="center"/>
    </xf>
    <xf numFmtId="0" fontId="27" fillId="8" borderId="9" xfId="0" applyFont="1" applyFill="1" applyBorder="1" applyAlignment="1" applyProtection="1">
      <alignment vertical="center" wrapText="1"/>
    </xf>
    <xf numFmtId="0" fontId="27" fillId="8" borderId="9" xfId="0" applyFont="1" applyFill="1" applyBorder="1" applyAlignment="1" applyProtection="1">
      <alignment horizontal="center" vertical="center"/>
    </xf>
    <xf numFmtId="0" fontId="14" fillId="8" borderId="42" xfId="0" applyFont="1" applyFill="1" applyBorder="1" applyAlignment="1" applyProtection="1">
      <alignment horizontal="center" vertical="center"/>
    </xf>
    <xf numFmtId="0" fontId="5" fillId="21" borderId="9" xfId="0" applyFont="1" applyFill="1" applyBorder="1" applyAlignment="1" applyProtection="1">
      <alignment horizontal="center" vertical="center"/>
    </xf>
    <xf numFmtId="0" fontId="27" fillId="21" borderId="41" xfId="0" applyFont="1" applyFill="1" applyBorder="1" applyAlignment="1" applyProtection="1">
      <alignment horizontal="center" vertical="center"/>
    </xf>
    <xf numFmtId="1" fontId="27" fillId="21" borderId="24" xfId="0" applyNumberFormat="1" applyFont="1" applyFill="1" applyBorder="1" applyAlignment="1" applyProtection="1">
      <alignment horizontal="center" vertical="center"/>
    </xf>
    <xf numFmtId="1" fontId="27" fillId="21" borderId="42" xfId="0" applyNumberFormat="1" applyFont="1" applyFill="1" applyBorder="1" applyAlignment="1" applyProtection="1">
      <alignment horizontal="center" vertical="center"/>
    </xf>
    <xf numFmtId="1" fontId="41" fillId="7" borderId="9" xfId="0" applyNumberFormat="1" applyFont="1" applyFill="1" applyBorder="1" applyAlignment="1" applyProtection="1">
      <alignment horizontal="center" vertical="center" wrapText="1"/>
    </xf>
    <xf numFmtId="1" fontId="41" fillId="7" borderId="24" xfId="0" applyNumberFormat="1" applyFont="1" applyFill="1" applyBorder="1" applyAlignment="1" applyProtection="1">
      <alignment horizontal="center" vertical="center" wrapText="1"/>
    </xf>
    <xf numFmtId="165" fontId="41" fillId="7" borderId="9" xfId="0" applyNumberFormat="1" applyFont="1" applyFill="1" applyBorder="1" applyAlignment="1" applyProtection="1">
      <alignment horizontal="center" vertical="center" wrapText="1"/>
    </xf>
    <xf numFmtId="0" fontId="41" fillId="0" borderId="9" xfId="0" applyFont="1" applyFill="1" applyBorder="1" applyAlignment="1" applyProtection="1">
      <alignment horizontal="center" vertical="center" wrapText="1"/>
    </xf>
    <xf numFmtId="0" fontId="41" fillId="8" borderId="9" xfId="0" applyFont="1" applyFill="1" applyBorder="1" applyAlignment="1" applyProtection="1">
      <alignment horizontal="center" vertical="center" wrapText="1"/>
    </xf>
    <xf numFmtId="164" fontId="1" fillId="4" borderId="42" xfId="0" applyNumberFormat="1" applyFont="1" applyFill="1" applyBorder="1" applyAlignment="1" applyProtection="1">
      <alignment horizontal="center" vertical="center" wrapText="1"/>
    </xf>
    <xf numFmtId="0" fontId="1" fillId="4" borderId="26" xfId="0" applyFont="1" applyFill="1" applyBorder="1" applyAlignment="1" applyProtection="1">
      <alignment vertical="center" wrapText="1"/>
    </xf>
    <xf numFmtId="0" fontId="2" fillId="5" borderId="23" xfId="0" applyFont="1" applyFill="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18" xfId="0" applyFont="1" applyBorder="1" applyAlignment="1" applyProtection="1">
      <alignment vertical="center" wrapText="1"/>
    </xf>
    <xf numFmtId="2" fontId="2" fillId="7" borderId="9" xfId="0" applyNumberFormat="1" applyFont="1" applyFill="1" applyBorder="1" applyAlignment="1" applyProtection="1">
      <alignment vertical="center" wrapText="1"/>
    </xf>
    <xf numFmtId="0" fontId="1" fillId="0" borderId="0" xfId="0" applyFont="1" applyBorder="1" applyAlignment="1" applyProtection="1">
      <alignment vertical="center" wrapText="1"/>
    </xf>
    <xf numFmtId="0" fontId="1" fillId="0" borderId="9" xfId="0" applyFont="1" applyBorder="1" applyAlignment="1" applyProtection="1">
      <alignment horizontal="center" vertical="center" wrapText="1"/>
    </xf>
    <xf numFmtId="0" fontId="1" fillId="7" borderId="9" xfId="0" applyFont="1" applyFill="1" applyBorder="1" applyAlignment="1" applyProtection="1">
      <alignment vertical="center" wrapText="1"/>
    </xf>
    <xf numFmtId="164" fontId="2" fillId="7" borderId="9" xfId="0" applyNumberFormat="1" applyFont="1" applyFill="1" applyBorder="1" applyAlignment="1" applyProtection="1">
      <alignment vertical="center" wrapText="1"/>
    </xf>
    <xf numFmtId="0" fontId="0" fillId="8" borderId="9" xfId="0" applyFill="1" applyBorder="1" applyAlignment="1" applyProtection="1">
      <alignment horizontal="center"/>
    </xf>
    <xf numFmtId="0" fontId="2" fillId="8" borderId="9" xfId="0" applyFont="1" applyFill="1" applyBorder="1" applyAlignment="1" applyProtection="1">
      <alignment horizontal="center" vertical="center" wrapText="1"/>
    </xf>
    <xf numFmtId="0" fontId="5" fillId="8" borderId="9" xfId="0" applyFont="1" applyFill="1" applyBorder="1" applyAlignment="1" applyProtection="1"/>
    <xf numFmtId="0" fontId="5" fillId="8" borderId="9" xfId="0" applyFont="1" applyFill="1" applyBorder="1" applyAlignment="1" applyProtection="1">
      <alignment horizontal="center"/>
    </xf>
    <xf numFmtId="164" fontId="1" fillId="4" borderId="25" xfId="0" applyNumberFormat="1" applyFont="1" applyFill="1" applyBorder="1" applyAlignment="1" applyProtection="1">
      <alignment vertical="center" wrapText="1"/>
    </xf>
    <xf numFmtId="0" fontId="2" fillId="5" borderId="22" xfId="0" applyFont="1" applyFill="1" applyBorder="1" applyAlignment="1" applyProtection="1">
      <alignment horizontal="center" vertical="center" wrapText="1"/>
    </xf>
    <xf numFmtId="0" fontId="4" fillId="5" borderId="0" xfId="0" applyFont="1" applyFill="1" applyProtection="1"/>
    <xf numFmtId="0" fontId="0" fillId="5" borderId="0" xfId="0" applyFill="1" applyAlignment="1" applyProtection="1">
      <alignment horizontal="center"/>
    </xf>
    <xf numFmtId="0" fontId="0" fillId="5" borderId="0" xfId="0" applyFill="1" applyProtection="1"/>
    <xf numFmtId="0" fontId="1" fillId="2" borderId="21"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20" fillId="0" borderId="9" xfId="0" applyFont="1" applyFill="1" applyBorder="1" applyAlignment="1" applyProtection="1">
      <alignment horizontal="center"/>
    </xf>
    <xf numFmtId="0" fontId="20" fillId="0" borderId="9" xfId="0" applyFont="1" applyFill="1" applyBorder="1" applyAlignment="1" applyProtection="1"/>
    <xf numFmtId="0" fontId="20" fillId="0" borderId="9" xfId="0" applyFont="1" applyFill="1" applyBorder="1" applyAlignment="1" applyProtection="1">
      <alignment horizontal="left"/>
    </xf>
    <xf numFmtId="2" fontId="2" fillId="8" borderId="26" xfId="0" applyNumberFormat="1" applyFont="1" applyFill="1" applyBorder="1" applyAlignment="1" applyProtection="1">
      <alignment vertical="center" wrapText="1"/>
    </xf>
    <xf numFmtId="0" fontId="54" fillId="0" borderId="0" xfId="0" applyFont="1" applyFill="1"/>
    <xf numFmtId="0" fontId="0" fillId="0" borderId="0" xfId="0" applyFill="1"/>
    <xf numFmtId="0" fontId="0" fillId="0" borderId="0" xfId="0" applyFill="1" applyBorder="1" applyProtection="1"/>
    <xf numFmtId="0" fontId="5" fillId="5" borderId="24" xfId="0" applyFont="1" applyFill="1" applyBorder="1" applyAlignment="1" applyProtection="1">
      <alignment vertical="top" wrapText="1"/>
    </xf>
    <xf numFmtId="0" fontId="5" fillId="5" borderId="26" xfId="0" applyFont="1" applyFill="1" applyBorder="1" applyAlignment="1" applyProtection="1">
      <alignment vertical="top" wrapText="1"/>
    </xf>
    <xf numFmtId="0" fontId="2" fillId="11" borderId="9" xfId="0" applyFont="1" applyFill="1" applyBorder="1" applyAlignment="1" applyProtection="1">
      <alignment horizontal="center" vertical="center" wrapText="1"/>
    </xf>
    <xf numFmtId="0" fontId="2" fillId="0" borderId="41" xfId="0" applyFont="1" applyBorder="1" applyAlignment="1" applyProtection="1">
      <alignment horizontal="center" vertical="center" wrapText="1"/>
    </xf>
    <xf numFmtId="166" fontId="13" fillId="7" borderId="42" xfId="0" applyNumberFormat="1" applyFont="1" applyFill="1" applyBorder="1" applyAlignment="1" applyProtection="1">
      <alignment horizontal="center" vertical="center"/>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20" fillId="0" borderId="0" xfId="0" applyFont="1" applyProtection="1">
      <protection locked="0"/>
    </xf>
    <xf numFmtId="0" fontId="22" fillId="0" borderId="0" xfId="0" applyFont="1" applyBorder="1" applyAlignment="1" applyProtection="1">
      <alignment vertical="center"/>
      <protection locked="0"/>
    </xf>
    <xf numFmtId="0" fontId="20" fillId="0" borderId="0" xfId="0" applyFont="1" applyBorder="1" applyProtection="1">
      <protection locked="0"/>
    </xf>
    <xf numFmtId="0" fontId="54" fillId="0" borderId="0" xfId="0" applyFont="1" applyFill="1" applyBorder="1" applyAlignment="1" applyProtection="1">
      <protection locked="0"/>
    </xf>
    <xf numFmtId="0" fontId="20" fillId="0" borderId="0" xfId="0" applyFont="1" applyFill="1" applyBorder="1" applyAlignment="1" applyProtection="1">
      <protection locked="0"/>
    </xf>
    <xf numFmtId="0" fontId="20" fillId="0" borderId="0" xfId="0" applyFont="1" applyBorder="1" applyAlignment="1" applyProtection="1">
      <protection locked="0"/>
    </xf>
    <xf numFmtId="0" fontId="20" fillId="0" borderId="28" xfId="0" applyFont="1" applyBorder="1" applyProtection="1">
      <protection locked="0"/>
    </xf>
    <xf numFmtId="0" fontId="20" fillId="0" borderId="0" xfId="0" applyFont="1" applyAlignment="1" applyProtection="1">
      <alignment vertical="center"/>
      <protection locked="0"/>
    </xf>
    <xf numFmtId="0" fontId="22" fillId="0" borderId="9" xfId="0" applyFont="1" applyBorder="1" applyAlignment="1" applyProtection="1">
      <alignment vertical="center" wrapText="1"/>
      <protection locked="0"/>
    </xf>
    <xf numFmtId="0" fontId="20" fillId="0" borderId="9" xfId="0" applyFont="1" applyBorder="1" applyProtection="1">
      <protection locked="0"/>
    </xf>
    <xf numFmtId="0" fontId="20" fillId="0" borderId="42" xfId="0" applyFont="1" applyBorder="1" applyProtection="1">
      <protection locked="0"/>
    </xf>
    <xf numFmtId="0" fontId="14" fillId="0" borderId="42" xfId="0" applyFont="1" applyBorder="1" applyProtection="1">
      <protection locked="0"/>
    </xf>
    <xf numFmtId="0" fontId="13" fillId="0" borderId="9" xfId="0" applyFont="1" applyFill="1" applyBorder="1" applyAlignment="1" applyProtection="1">
      <alignment vertical="center" wrapText="1"/>
      <protection locked="0"/>
    </xf>
    <xf numFmtId="0" fontId="13" fillId="6" borderId="9" xfId="0" applyFont="1" applyFill="1" applyBorder="1" applyAlignment="1" applyProtection="1">
      <alignment vertical="center" wrapText="1"/>
      <protection locked="0"/>
    </xf>
    <xf numFmtId="0" fontId="14" fillId="6" borderId="9" xfId="0" applyFont="1" applyFill="1" applyBorder="1" applyProtection="1">
      <protection locked="0"/>
    </xf>
    <xf numFmtId="0" fontId="22" fillId="0" borderId="9" xfId="0" applyFont="1" applyFill="1" applyBorder="1" applyAlignment="1" applyProtection="1">
      <alignment vertical="center" wrapText="1"/>
      <protection locked="0"/>
    </xf>
    <xf numFmtId="0" fontId="20" fillId="0" borderId="9" xfId="0" applyFont="1" applyFill="1" applyBorder="1" applyProtection="1">
      <protection locked="0"/>
    </xf>
    <xf numFmtId="0" fontId="2" fillId="0" borderId="9" xfId="0" applyFont="1" applyBorder="1" applyAlignment="1" applyProtection="1">
      <alignment vertical="center" wrapText="1"/>
      <protection locked="0"/>
    </xf>
    <xf numFmtId="0" fontId="20" fillId="0" borderId="42" xfId="0" applyFont="1" applyBorder="1" applyAlignment="1" applyProtection="1">
      <alignment vertical="top"/>
      <protection locked="0"/>
    </xf>
    <xf numFmtId="0" fontId="20" fillId="0" borderId="0" xfId="0" applyFont="1" applyAlignment="1" applyProtection="1">
      <alignment vertical="top"/>
      <protection locked="0"/>
    </xf>
    <xf numFmtId="164" fontId="13" fillId="6" borderId="9" xfId="0" applyNumberFormat="1" applyFont="1" applyFill="1" applyBorder="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6" fillId="0" borderId="16" xfId="0" applyFont="1" applyBorder="1" applyAlignment="1" applyProtection="1">
      <alignment vertical="top" wrapText="1"/>
    </xf>
    <xf numFmtId="0" fontId="0" fillId="0" borderId="0" xfId="0" applyAlignment="1" applyProtection="1">
      <alignment horizontal="center"/>
      <protection locked="0"/>
    </xf>
    <xf numFmtId="0" fontId="0" fillId="0" borderId="0" xfId="0" applyBorder="1" applyProtection="1">
      <protection locked="0"/>
    </xf>
    <xf numFmtId="0" fontId="0" fillId="0" borderId="28" xfId="0" applyBorder="1" applyProtection="1">
      <protection locked="0"/>
    </xf>
    <xf numFmtId="0" fontId="2" fillId="0" borderId="0" xfId="0" applyFont="1" applyAlignment="1" applyProtection="1">
      <alignment horizontal="left" vertical="center" indent="5"/>
      <protection locked="0"/>
    </xf>
    <xf numFmtId="0" fontId="0" fillId="0" borderId="0" xfId="0" applyAlignment="1" applyProtection="1">
      <alignment vertical="top"/>
      <protection locked="0"/>
    </xf>
    <xf numFmtId="0" fontId="2" fillId="0" borderId="0" xfId="0" applyFont="1" applyBorder="1" applyAlignment="1" applyProtection="1">
      <alignment vertical="center"/>
      <protection locked="0"/>
    </xf>
    <xf numFmtId="0" fontId="2" fillId="6" borderId="9" xfId="0" applyFont="1" applyFill="1" applyBorder="1" applyAlignment="1" applyProtection="1">
      <alignment vertical="center" wrapText="1"/>
      <protection locked="0"/>
    </xf>
    <xf numFmtId="0" fontId="0" fillId="0" borderId="42" xfId="0" applyBorder="1" applyProtection="1">
      <protection locked="0"/>
    </xf>
    <xf numFmtId="0" fontId="0" fillId="0" borderId="50" xfId="0" applyBorder="1" applyProtection="1">
      <protection locked="0"/>
    </xf>
    <xf numFmtId="0" fontId="0" fillId="0" borderId="52" xfId="0" applyBorder="1" applyProtection="1">
      <protection locked="0"/>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0" fillId="0" borderId="9" xfId="0" applyBorder="1" applyProtection="1">
      <protection locked="0"/>
    </xf>
    <xf numFmtId="0" fontId="0" fillId="0" borderId="42" xfId="0" applyBorder="1" applyAlignment="1" applyProtection="1">
      <alignment vertical="top"/>
      <protection locked="0"/>
    </xf>
    <xf numFmtId="0" fontId="14" fillId="0" borderId="0" xfId="0" applyFont="1" applyAlignment="1" applyProtection="1">
      <alignment vertical="top"/>
      <protection locked="0"/>
    </xf>
    <xf numFmtId="0" fontId="2" fillId="0" borderId="9" xfId="0" applyFont="1" applyFill="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vertical="center" wrapText="1"/>
      <protection locked="0"/>
    </xf>
    <xf numFmtId="0" fontId="2" fillId="0" borderId="29" xfId="0" applyFont="1" applyBorder="1" applyAlignment="1" applyProtection="1">
      <alignment horizontal="center" vertical="center"/>
    </xf>
    <xf numFmtId="165" fontId="2" fillId="0" borderId="42" xfId="0" applyNumberFormat="1" applyFont="1" applyFill="1" applyBorder="1" applyAlignment="1" applyProtection="1">
      <alignment horizontal="center" vertical="center"/>
    </xf>
    <xf numFmtId="164" fontId="2" fillId="0" borderId="53" xfId="0" applyNumberFormat="1" applyFont="1" applyBorder="1" applyAlignment="1" applyProtection="1">
      <alignment horizontal="center" vertical="top" wrapText="1"/>
    </xf>
    <xf numFmtId="0" fontId="2" fillId="0" borderId="54" xfId="0" applyFont="1" applyBorder="1" applyAlignment="1" applyProtection="1">
      <alignment vertical="top" wrapText="1"/>
    </xf>
    <xf numFmtId="165" fontId="2" fillId="0" borderId="55" xfId="0" applyNumberFormat="1" applyFont="1" applyFill="1" applyBorder="1" applyAlignment="1" applyProtection="1">
      <alignment horizontal="center" vertical="top" wrapText="1"/>
    </xf>
    <xf numFmtId="0" fontId="2" fillId="0" borderId="0" xfId="0" applyFont="1" applyAlignment="1" applyProtection="1">
      <alignment horizontal="center" vertical="center"/>
      <protection locked="0"/>
    </xf>
    <xf numFmtId="0" fontId="0" fillId="0" borderId="0" xfId="0" applyBorder="1" applyAlignment="1" applyProtection="1">
      <protection locked="0"/>
    </xf>
    <xf numFmtId="0" fontId="4" fillId="0" borderId="0" xfId="0" applyFont="1" applyProtection="1">
      <protection locked="0"/>
    </xf>
    <xf numFmtId="0" fontId="0" fillId="0" borderId="38" xfId="0" applyBorder="1" applyProtection="1">
      <protection locked="0"/>
    </xf>
    <xf numFmtId="0" fontId="0" fillId="0" borderId="37" xfId="0" applyBorder="1" applyProtection="1">
      <protection locked="0"/>
    </xf>
    <xf numFmtId="0" fontId="0" fillId="0" borderId="0" xfId="0" applyBorder="1" applyAlignment="1" applyProtection="1">
      <alignment horizontal="center"/>
      <protection locked="0"/>
    </xf>
    <xf numFmtId="0" fontId="0" fillId="0" borderId="0" xfId="0" applyAlignment="1" applyProtection="1">
      <protection locked="0"/>
    </xf>
    <xf numFmtId="0" fontId="0" fillId="6" borderId="9" xfId="0" applyFill="1" applyBorder="1" applyProtection="1">
      <protection locked="0"/>
    </xf>
    <xf numFmtId="0" fontId="2" fillId="0" borderId="0" xfId="0" applyFont="1" applyBorder="1" applyAlignment="1" applyProtection="1">
      <alignment horizontal="center" vertical="center"/>
      <protection locked="0"/>
    </xf>
    <xf numFmtId="0" fontId="9" fillId="0" borderId="0" xfId="0" applyFont="1" applyBorder="1" applyAlignment="1" applyProtection="1">
      <alignment horizontal="left"/>
      <protection locked="0"/>
    </xf>
    <xf numFmtId="0" fontId="2" fillId="0" borderId="0" xfId="0" applyFont="1" applyAlignment="1" applyProtection="1">
      <alignment horizontal="left" vertical="center" indent="6"/>
      <protection locked="0"/>
    </xf>
    <xf numFmtId="165" fontId="2" fillId="7" borderId="9" xfId="0" applyNumberFormat="1"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165" fontId="13" fillId="0" borderId="9" xfId="0" applyNumberFormat="1" applyFont="1" applyFill="1" applyBorder="1" applyAlignment="1" applyProtection="1">
      <alignment horizontal="center" vertical="center" wrapText="1"/>
    </xf>
    <xf numFmtId="164" fontId="2" fillId="11" borderId="9" xfId="0" applyNumberFormat="1" applyFont="1" applyFill="1" applyBorder="1" applyAlignment="1" applyProtection="1">
      <alignment horizontal="center" vertical="center" wrapText="1"/>
    </xf>
    <xf numFmtId="0" fontId="13" fillId="11" borderId="9" xfId="0" applyFont="1" applyFill="1" applyBorder="1" applyAlignment="1" applyProtection="1">
      <alignment vertical="top" wrapText="1"/>
    </xf>
    <xf numFmtId="0" fontId="2" fillId="11" borderId="9" xfId="0"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0" fontId="11" fillId="6" borderId="9" xfId="0" applyFont="1" applyFill="1" applyBorder="1" applyAlignment="1" applyProtection="1">
      <alignment vertical="center" wrapText="1"/>
      <protection locked="0"/>
    </xf>
    <xf numFmtId="0" fontId="11" fillId="6" borderId="9" xfId="0" applyFont="1" applyFill="1" applyBorder="1" applyAlignment="1" applyProtection="1">
      <alignment horizontal="center" vertical="center" wrapText="1"/>
      <protection locked="0"/>
    </xf>
    <xf numFmtId="0" fontId="11" fillId="11" borderId="9" xfId="0" applyFont="1" applyFill="1" applyBorder="1" applyAlignment="1" applyProtection="1">
      <alignment horizontal="center" vertical="center" wrapText="1"/>
      <protection locked="0"/>
    </xf>
    <xf numFmtId="0" fontId="2" fillId="11" borderId="9"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18" fillId="6" borderId="9" xfId="0" applyFont="1" applyFill="1" applyBorder="1" applyAlignment="1" applyProtection="1">
      <alignment horizontal="center" vertical="center" wrapText="1"/>
      <protection locked="0"/>
    </xf>
    <xf numFmtId="0" fontId="2" fillId="11" borderId="9" xfId="0" applyFont="1" applyFill="1" applyBorder="1" applyAlignment="1" applyProtection="1">
      <alignment horizontal="center" vertical="top" wrapText="1"/>
      <protection locked="0"/>
    </xf>
    <xf numFmtId="0" fontId="2" fillId="6" borderId="9" xfId="0" applyFont="1" applyFill="1" applyBorder="1" applyAlignment="1" applyProtection="1">
      <alignment vertical="top" wrapText="1"/>
      <protection locked="0"/>
    </xf>
    <xf numFmtId="0" fontId="2" fillId="6" borderId="9" xfId="0" applyFont="1" applyFill="1" applyBorder="1" applyAlignment="1" applyProtection="1">
      <alignment horizontal="center" vertical="top" wrapText="1"/>
      <protection locked="0"/>
    </xf>
    <xf numFmtId="0" fontId="2" fillId="0" borderId="0" xfId="0" applyFont="1" applyProtection="1">
      <protection locked="0"/>
    </xf>
    <xf numFmtId="0" fontId="4" fillId="0" borderId="0" xfId="0" applyFont="1" applyAlignment="1" applyProtection="1">
      <alignment horizontal="center"/>
      <protection locked="0"/>
    </xf>
    <xf numFmtId="0" fontId="6" fillId="0" borderId="0" xfId="0" applyFont="1" applyProtection="1">
      <protection locked="0"/>
    </xf>
    <xf numFmtId="0" fontId="0" fillId="5" borderId="12" xfId="0" applyFont="1" applyFill="1" applyBorder="1" applyProtection="1">
      <protection locked="0"/>
    </xf>
    <xf numFmtId="0" fontId="5" fillId="0" borderId="0" xfId="0" applyFont="1" applyAlignment="1" applyProtection="1">
      <alignment horizontal="center"/>
      <protection locked="0"/>
    </xf>
    <xf numFmtId="0" fontId="0" fillId="15" borderId="14" xfId="0" applyFill="1" applyBorder="1" applyProtection="1">
      <protection locked="0"/>
    </xf>
    <xf numFmtId="0" fontId="0" fillId="0" borderId="0" xfId="0" applyFon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vertical="center"/>
      <protection locked="0"/>
    </xf>
    <xf numFmtId="0" fontId="5" fillId="0" borderId="0" xfId="0" applyFont="1" applyAlignment="1" applyProtection="1">
      <alignment horizontal="left"/>
      <protection locked="0"/>
    </xf>
    <xf numFmtId="0" fontId="0" fillId="0" borderId="0" xfId="0" applyAlignment="1" applyProtection="1">
      <alignment horizontal="left" vertical="top"/>
      <protection locked="0"/>
    </xf>
    <xf numFmtId="0" fontId="0" fillId="0" borderId="0" xfId="0" applyFont="1" applyAlignment="1" applyProtection="1">
      <alignment horizontal="left"/>
      <protection locked="0"/>
    </xf>
    <xf numFmtId="0" fontId="2" fillId="0" borderId="0" xfId="0" applyFont="1" applyAlignment="1" applyProtection="1">
      <alignment horizontal="left" vertical="center" indent="2"/>
      <protection locked="0"/>
    </xf>
    <xf numFmtId="0" fontId="2" fillId="0" borderId="0" xfId="0" applyFont="1" applyAlignment="1" applyProtection="1">
      <alignment horizontal="left" vertical="center" indent="13"/>
      <protection locked="0"/>
    </xf>
    <xf numFmtId="0" fontId="2" fillId="0" borderId="0" xfId="0" applyFont="1" applyAlignment="1" applyProtection="1">
      <alignment horizontal="left" vertical="center" indent="10"/>
      <protection locked="0"/>
    </xf>
    <xf numFmtId="1" fontId="0" fillId="8" borderId="9" xfId="0" applyNumberFormat="1" applyFill="1" applyBorder="1" applyAlignment="1" applyProtection="1">
      <alignment horizontal="center" vertical="center"/>
    </xf>
    <xf numFmtId="0" fontId="0" fillId="8" borderId="0" xfId="0" applyFill="1" applyProtection="1"/>
    <xf numFmtId="0" fontId="2" fillId="0" borderId="5" xfId="0" applyFont="1" applyBorder="1" applyAlignment="1" applyProtection="1">
      <alignment vertical="center" wrapText="1"/>
      <protection locked="0"/>
    </xf>
    <xf numFmtId="0" fontId="0" fillId="0" borderId="0" xfId="0" applyAlignment="1" applyProtection="1">
      <alignment horizontal="right" vertical="top"/>
      <protection locked="0"/>
    </xf>
    <xf numFmtId="0" fontId="6" fillId="0" borderId="0" xfId="0" applyFont="1" applyAlignment="1" applyProtection="1">
      <alignment horizontal="center"/>
      <protection locked="0"/>
    </xf>
    <xf numFmtId="0" fontId="69" fillId="6" borderId="25" xfId="0" applyFont="1" applyFill="1" applyBorder="1" applyProtection="1">
      <protection locked="0"/>
    </xf>
    <xf numFmtId="0" fontId="69" fillId="6" borderId="26" xfId="0" applyFont="1" applyFill="1" applyBorder="1" applyProtection="1">
      <protection locked="0"/>
    </xf>
    <xf numFmtId="0" fontId="18" fillId="19" borderId="5" xfId="0" applyFont="1" applyFill="1" applyBorder="1" applyAlignment="1" applyProtection="1">
      <alignment vertical="center" wrapText="1"/>
      <protection locked="0"/>
    </xf>
    <xf numFmtId="0" fontId="18" fillId="19" borderId="5" xfId="0" applyFont="1" applyFill="1" applyBorder="1" applyAlignment="1" applyProtection="1">
      <alignment horizontal="center" vertical="center" wrapText="1"/>
      <protection locked="0"/>
    </xf>
    <xf numFmtId="165" fontId="18" fillId="19" borderId="5" xfId="0" applyNumberFormat="1" applyFont="1" applyFill="1" applyBorder="1" applyAlignment="1" applyProtection="1">
      <alignment vertical="center" wrapText="1"/>
      <protection locked="0"/>
    </xf>
    <xf numFmtId="0" fontId="2" fillId="19" borderId="5" xfId="0" applyFont="1" applyFill="1" applyBorder="1" applyAlignment="1" applyProtection="1">
      <alignment vertical="center" wrapText="1"/>
      <protection locked="0"/>
    </xf>
    <xf numFmtId="0" fontId="18" fillId="19" borderId="6" xfId="0" applyFont="1" applyFill="1" applyBorder="1" applyAlignment="1" applyProtection="1">
      <alignment vertical="center" wrapText="1"/>
      <protection locked="0"/>
    </xf>
    <xf numFmtId="0" fontId="18" fillId="19" borderId="6" xfId="0" applyFont="1" applyFill="1" applyBorder="1" applyAlignment="1" applyProtection="1">
      <alignment horizontal="center" vertical="center" wrapText="1"/>
      <protection locked="0"/>
    </xf>
    <xf numFmtId="165" fontId="18" fillId="19" borderId="6" xfId="0" applyNumberFormat="1" applyFont="1" applyFill="1" applyBorder="1" applyAlignment="1" applyProtection="1">
      <alignment vertical="center" wrapText="1"/>
      <protection locked="0"/>
    </xf>
    <xf numFmtId="165" fontId="18" fillId="19" borderId="6" xfId="0" applyNumberFormat="1" applyFont="1" applyFill="1" applyBorder="1" applyAlignment="1" applyProtection="1">
      <alignment horizontal="right" vertical="center" wrapText="1"/>
      <protection locked="0"/>
    </xf>
    <xf numFmtId="0" fontId="2" fillId="19" borderId="6" xfId="0" applyFont="1" applyFill="1" applyBorder="1" applyAlignment="1" applyProtection="1">
      <alignment vertical="center" wrapText="1"/>
      <protection locked="0"/>
    </xf>
    <xf numFmtId="0" fontId="2" fillId="11" borderId="5" xfId="0" applyFont="1" applyFill="1" applyBorder="1" applyAlignment="1" applyProtection="1">
      <alignment vertical="center" wrapText="1"/>
      <protection locked="0"/>
    </xf>
    <xf numFmtId="2" fontId="18" fillId="19" borderId="5" xfId="0" applyNumberFormat="1" applyFont="1" applyFill="1" applyBorder="1" applyAlignment="1" applyProtection="1">
      <alignment vertical="center" wrapText="1"/>
      <protection locked="0"/>
    </xf>
    <xf numFmtId="1" fontId="18" fillId="19" borderId="5" xfId="0" applyNumberFormat="1"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164" fontId="18" fillId="19" borderId="5" xfId="0" applyNumberFormat="1" applyFont="1" applyFill="1" applyBorder="1" applyAlignment="1" applyProtection="1">
      <alignment vertical="center" wrapText="1"/>
      <protection locked="0"/>
    </xf>
    <xf numFmtId="0" fontId="27" fillId="8" borderId="11" xfId="0" applyFont="1" applyFill="1" applyBorder="1" applyProtection="1"/>
    <xf numFmtId="0" fontId="27" fillId="8" borderId="36" xfId="0" applyFont="1" applyFill="1" applyBorder="1" applyProtection="1"/>
    <xf numFmtId="0" fontId="27" fillId="8" borderId="12" xfId="0" applyFont="1" applyFill="1" applyBorder="1" applyProtection="1"/>
    <xf numFmtId="0" fontId="27" fillId="8" borderId="27" xfId="0" applyFont="1" applyFill="1" applyBorder="1" applyProtection="1"/>
    <xf numFmtId="0" fontId="27" fillId="8" borderId="17" xfId="0" applyFont="1" applyFill="1" applyBorder="1" applyProtection="1"/>
    <xf numFmtId="0" fontId="27" fillId="8" borderId="13" xfId="0" applyFont="1" applyFill="1" applyBorder="1" applyProtection="1"/>
    <xf numFmtId="0" fontId="27" fillId="8" borderId="31" xfId="0" applyFont="1" applyFill="1" applyBorder="1" applyProtection="1"/>
    <xf numFmtId="0" fontId="27" fillId="7" borderId="1" xfId="0" applyFont="1" applyFill="1" applyBorder="1" applyProtection="1"/>
    <xf numFmtId="0" fontId="27" fillId="8" borderId="24" xfId="0" applyFont="1" applyFill="1" applyBorder="1" applyProtection="1"/>
    <xf numFmtId="0" fontId="14" fillId="8" borderId="25" xfId="0" applyFont="1" applyFill="1" applyBorder="1" applyProtection="1"/>
    <xf numFmtId="0" fontId="14" fillId="8" borderId="26" xfId="0" applyFont="1" applyFill="1" applyBorder="1" applyProtection="1"/>
    <xf numFmtId="0" fontId="14" fillId="8" borderId="31" xfId="0" applyFont="1" applyFill="1" applyBorder="1" applyProtection="1"/>
    <xf numFmtId="0" fontId="14" fillId="8" borderId="14" xfId="0" applyFont="1" applyFill="1" applyBorder="1" applyProtection="1"/>
    <xf numFmtId="0" fontId="14" fillId="0" borderId="0" xfId="0" applyFont="1" applyProtection="1"/>
    <xf numFmtId="0" fontId="8" fillId="0" borderId="0" xfId="0" applyFont="1" applyProtection="1"/>
    <xf numFmtId="0" fontId="72" fillId="19" borderId="30" xfId="0" applyFont="1" applyFill="1" applyBorder="1" applyAlignment="1" applyProtection="1">
      <alignment horizontal="center" vertical="center" wrapText="1"/>
      <protection locked="0"/>
    </xf>
    <xf numFmtId="0" fontId="72" fillId="19" borderId="58" xfId="0" applyFont="1" applyFill="1" applyBorder="1" applyAlignment="1" applyProtection="1">
      <alignment horizontal="center" vertical="center" wrapText="1"/>
      <protection locked="0"/>
    </xf>
    <xf numFmtId="0" fontId="18" fillId="19" borderId="9" xfId="0" applyFont="1" applyFill="1" applyBorder="1" applyAlignment="1" applyProtection="1">
      <alignment vertical="center" wrapText="1"/>
      <protection locked="0"/>
    </xf>
    <xf numFmtId="2" fontId="18" fillId="19" borderId="9" xfId="0" applyNumberFormat="1" applyFont="1" applyFill="1" applyBorder="1" applyAlignment="1" applyProtection="1">
      <alignment vertical="center" wrapText="1"/>
      <protection locked="0"/>
    </xf>
    <xf numFmtId="0" fontId="8" fillId="19" borderId="9" xfId="0" applyFont="1" applyFill="1" applyBorder="1" applyProtection="1">
      <protection locked="0"/>
    </xf>
    <xf numFmtId="0" fontId="18" fillId="19" borderId="28" xfId="0" applyFont="1" applyFill="1" applyBorder="1" applyAlignment="1" applyProtection="1">
      <alignment vertical="center" wrapText="1"/>
      <protection locked="0"/>
    </xf>
    <xf numFmtId="165" fontId="8" fillId="19" borderId="9" xfId="0" applyNumberFormat="1" applyFont="1" applyFill="1" applyBorder="1" applyProtection="1">
      <protection locked="0"/>
    </xf>
    <xf numFmtId="164" fontId="18" fillId="19" borderId="5" xfId="0" applyNumberFormat="1" applyFont="1" applyFill="1" applyBorder="1" applyAlignment="1" applyProtection="1">
      <alignment horizontal="center" vertical="center" wrapText="1"/>
      <protection locked="0"/>
    </xf>
    <xf numFmtId="164" fontId="18" fillId="19" borderId="6" xfId="0" applyNumberFormat="1" applyFont="1" applyFill="1" applyBorder="1" applyAlignment="1" applyProtection="1">
      <alignment horizontal="center" vertical="center" wrapText="1"/>
      <protection locked="0"/>
    </xf>
    <xf numFmtId="164" fontId="18" fillId="19" borderId="6" xfId="0" applyNumberFormat="1" applyFont="1" applyFill="1" applyBorder="1" applyAlignment="1" applyProtection="1">
      <alignment vertical="center" wrapText="1"/>
      <protection locked="0"/>
    </xf>
    <xf numFmtId="0" fontId="0" fillId="0" borderId="9" xfId="0" applyBorder="1" applyAlignment="1" applyProtection="1">
      <alignment horizontal="center" vertical="center" wrapText="1"/>
    </xf>
    <xf numFmtId="0" fontId="0" fillId="0" borderId="16" xfId="0" applyBorder="1" applyAlignment="1" applyProtection="1">
      <alignment vertical="top" wrapText="1"/>
    </xf>
    <xf numFmtId="0" fontId="0" fillId="0" borderId="9" xfId="0" applyBorder="1" applyAlignment="1" applyProtection="1">
      <alignment horizontal="left" vertical="center" wrapText="1"/>
    </xf>
    <xf numFmtId="165" fontId="0" fillId="7" borderId="9" xfId="0" applyNumberFormat="1" applyFill="1" applyBorder="1" applyAlignment="1" applyProtection="1">
      <alignment horizontal="center" vertical="center" wrapText="1"/>
    </xf>
    <xf numFmtId="0" fontId="0" fillId="0" borderId="9" xfId="0" applyBorder="1" applyAlignment="1" applyProtection="1">
      <alignment vertical="center"/>
    </xf>
    <xf numFmtId="0" fontId="2" fillId="0" borderId="9" xfId="0" applyFont="1" applyBorder="1" applyAlignment="1" applyProtection="1">
      <alignment horizontal="left" vertical="center" wrapText="1"/>
    </xf>
    <xf numFmtId="0" fontId="0" fillId="0" borderId="16" xfId="0" applyBorder="1" applyAlignment="1" applyProtection="1">
      <alignment vertical="center" wrapText="1"/>
    </xf>
    <xf numFmtId="165" fontId="0" fillId="8" borderId="9" xfId="0" applyNumberFormat="1" applyFill="1" applyBorder="1" applyAlignment="1" applyProtection="1">
      <alignment horizontal="center" vertical="center"/>
    </xf>
    <xf numFmtId="0" fontId="0" fillId="0" borderId="9" xfId="0" applyBorder="1" applyAlignment="1" applyProtection="1">
      <alignment horizontal="left"/>
      <protection locked="0"/>
    </xf>
    <xf numFmtId="0" fontId="0" fillId="0" borderId="16" xfId="0" applyBorder="1" applyAlignment="1" applyProtection="1">
      <alignment horizontal="center" vertical="center" wrapText="1"/>
    </xf>
    <xf numFmtId="0" fontId="0" fillId="19" borderId="9" xfId="0" applyFill="1" applyBorder="1" applyAlignment="1" applyProtection="1">
      <alignment horizontal="left"/>
      <protection locked="0"/>
    </xf>
    <xf numFmtId="0" fontId="5" fillId="5" borderId="15" xfId="0" applyFont="1" applyFill="1" applyBorder="1" applyAlignment="1" applyProtection="1">
      <alignment horizontal="center"/>
    </xf>
    <xf numFmtId="0" fontId="5" fillId="5" borderId="16" xfId="0" applyFont="1" applyFill="1" applyBorder="1" applyAlignment="1" applyProtection="1">
      <alignment horizontal="center"/>
    </xf>
    <xf numFmtId="0" fontId="0" fillId="4" borderId="9" xfId="0" applyFill="1" applyBorder="1" applyAlignment="1" applyProtection="1">
      <alignment horizontal="center"/>
    </xf>
    <xf numFmtId="0" fontId="0" fillId="4" borderId="9" xfId="0" applyFill="1" applyBorder="1" applyProtection="1"/>
    <xf numFmtId="0" fontId="0" fillId="0" borderId="9" xfId="0" applyBorder="1" applyAlignment="1" applyProtection="1">
      <alignment horizontal="center" vertical="top"/>
    </xf>
    <xf numFmtId="164" fontId="0" fillId="7" borderId="9" xfId="0" applyNumberFormat="1" applyFill="1" applyBorder="1" applyAlignment="1" applyProtection="1">
      <alignment vertical="top"/>
    </xf>
    <xf numFmtId="164" fontId="0" fillId="7" borderId="9" xfId="0" applyNumberFormat="1" applyFill="1" applyBorder="1" applyAlignment="1" applyProtection="1">
      <alignment horizontal="center" vertical="top"/>
    </xf>
    <xf numFmtId="0" fontId="0" fillId="0" borderId="9" xfId="0" applyBorder="1" applyAlignment="1" applyProtection="1">
      <alignment vertical="top"/>
    </xf>
    <xf numFmtId="0" fontId="0" fillId="0" borderId="18" xfId="0" applyBorder="1" applyAlignment="1" applyProtection="1">
      <alignment horizontal="center" vertical="center"/>
    </xf>
    <xf numFmtId="0" fontId="0" fillId="0" borderId="18" xfId="0" applyBorder="1" applyAlignment="1" applyProtection="1">
      <alignment vertical="center" wrapText="1"/>
    </xf>
    <xf numFmtId="164" fontId="0" fillId="0" borderId="0" xfId="0" applyNumberFormat="1" applyFill="1" applyBorder="1" applyAlignment="1" applyProtection="1">
      <alignment vertical="center"/>
    </xf>
    <xf numFmtId="164" fontId="0" fillId="7" borderId="9" xfId="0" applyNumberFormat="1" applyFill="1" applyBorder="1" applyAlignment="1" applyProtection="1">
      <alignment vertical="center"/>
    </xf>
    <xf numFmtId="164" fontId="0" fillId="7" borderId="9" xfId="0" applyNumberFormat="1" applyFill="1" applyBorder="1" applyAlignment="1" applyProtection="1">
      <alignment horizontal="center" vertical="center"/>
    </xf>
    <xf numFmtId="0" fontId="0" fillId="0" borderId="18" xfId="0" applyBorder="1" applyAlignment="1" applyProtection="1">
      <alignment vertical="center"/>
    </xf>
    <xf numFmtId="165" fontId="14" fillId="7" borderId="9" xfId="0" applyNumberFormat="1" applyFont="1" applyFill="1" applyBorder="1" applyAlignment="1" applyProtection="1">
      <alignment horizontal="center" vertical="top"/>
    </xf>
    <xf numFmtId="165" fontId="0" fillId="7" borderId="9" xfId="0" applyNumberFormat="1" applyFill="1" applyBorder="1" applyAlignment="1" applyProtection="1">
      <alignment horizontal="center" vertical="top"/>
    </xf>
    <xf numFmtId="0" fontId="0" fillId="0" borderId="9" xfId="0" applyBorder="1" applyAlignment="1" applyProtection="1">
      <alignment vertical="center" wrapText="1"/>
    </xf>
    <xf numFmtId="0" fontId="0" fillId="0" borderId="16" xfId="0" applyBorder="1" applyAlignment="1" applyProtection="1">
      <alignment horizontal="center" vertical="center"/>
    </xf>
    <xf numFmtId="165" fontId="0" fillId="7" borderId="16" xfId="0" applyNumberFormat="1" applyFill="1" applyBorder="1" applyAlignment="1" applyProtection="1">
      <alignment horizontal="center" vertical="center"/>
    </xf>
    <xf numFmtId="0" fontId="0" fillId="0" borderId="16" xfId="0" applyBorder="1" applyAlignment="1" applyProtection="1">
      <alignment vertical="center"/>
    </xf>
    <xf numFmtId="1" fontId="0" fillId="7" borderId="16" xfId="0" applyNumberFormat="1" applyFill="1" applyBorder="1" applyAlignment="1" applyProtection="1">
      <alignment horizontal="center" vertical="center"/>
    </xf>
    <xf numFmtId="0" fontId="0" fillId="7" borderId="16" xfId="0" applyFill="1" applyBorder="1" applyAlignment="1" applyProtection="1">
      <alignment horizontal="center" vertical="center"/>
    </xf>
    <xf numFmtId="165" fontId="13" fillId="8" borderId="54" xfId="0" applyNumberFormat="1" applyFont="1" applyFill="1" applyBorder="1" applyAlignment="1" applyProtection="1">
      <alignment vertical="top" wrapText="1"/>
    </xf>
    <xf numFmtId="0" fontId="0" fillId="0" borderId="9" xfId="0" applyBorder="1" applyAlignment="1" applyProtection="1">
      <alignment horizontal="center"/>
    </xf>
    <xf numFmtId="0" fontId="51" fillId="11" borderId="9" xfId="0" applyFont="1" applyFill="1" applyBorder="1" applyAlignment="1" applyProtection="1">
      <alignment horizontal="left" vertical="center"/>
    </xf>
    <xf numFmtId="0" fontId="51" fillId="11" borderId="9" xfId="0" applyFont="1" applyFill="1" applyBorder="1" applyAlignment="1" applyProtection="1">
      <alignment horizontal="center" vertical="center" wrapText="1"/>
    </xf>
    <xf numFmtId="0" fontId="51" fillId="11" borderId="16" xfId="0" applyFont="1" applyFill="1" applyBorder="1" applyAlignment="1" applyProtection="1">
      <alignment horizontal="center" vertical="center" wrapText="1"/>
    </xf>
    <xf numFmtId="0" fontId="41" fillId="0" borderId="9" xfId="0" applyFont="1" applyBorder="1" applyAlignment="1" applyProtection="1">
      <alignment vertical="center" wrapText="1"/>
    </xf>
    <xf numFmtId="0" fontId="41" fillId="11" borderId="9" xfId="0" applyFont="1" applyFill="1" applyBorder="1" applyAlignment="1" applyProtection="1">
      <alignment horizontal="center" vertical="center" wrapText="1"/>
    </xf>
    <xf numFmtId="0" fontId="40" fillId="5" borderId="9" xfId="0" applyFont="1" applyFill="1" applyBorder="1" applyAlignment="1" applyProtection="1">
      <alignment horizontal="center" vertical="center" wrapText="1"/>
    </xf>
    <xf numFmtId="0" fontId="41" fillId="0" borderId="9" xfId="0" applyFont="1" applyBorder="1" applyAlignment="1" applyProtection="1">
      <alignment horizontal="center" vertical="center" wrapText="1"/>
    </xf>
    <xf numFmtId="0" fontId="0" fillId="0" borderId="0" xfId="0" applyBorder="1" applyAlignment="1" applyProtection="1">
      <alignment horizontal="left" vertical="top" wrapText="1"/>
    </xf>
    <xf numFmtId="0" fontId="2" fillId="0" borderId="0" xfId="0" applyFont="1" applyBorder="1" applyAlignment="1" applyProtection="1">
      <alignment vertical="center" wrapText="1"/>
    </xf>
    <xf numFmtId="0" fontId="2" fillId="0" borderId="6" xfId="0" applyFont="1" applyBorder="1" applyAlignment="1" applyProtection="1">
      <alignment vertical="center" wrapText="1"/>
    </xf>
    <xf numFmtId="0" fontId="2" fillId="0" borderId="0" xfId="0" applyFont="1" applyBorder="1" applyAlignment="1" applyProtection="1">
      <alignment horizontal="left" vertical="center"/>
    </xf>
    <xf numFmtId="0" fontId="41" fillId="0" borderId="9" xfId="0" applyFont="1" applyBorder="1" applyAlignment="1" applyProtection="1">
      <alignment horizontal="center" vertical="center"/>
    </xf>
    <xf numFmtId="1" fontId="27" fillId="8" borderId="24" xfId="0" applyNumberFormat="1" applyFont="1" applyFill="1" applyBorder="1" applyAlignment="1" applyProtection="1">
      <alignment horizontal="center" vertical="center"/>
    </xf>
    <xf numFmtId="0" fontId="40" fillId="22" borderId="9" xfId="0" applyFont="1" applyFill="1" applyBorder="1" applyAlignment="1" applyProtection="1">
      <alignment horizontal="center" vertical="center" wrapText="1"/>
    </xf>
    <xf numFmtId="0" fontId="40" fillId="22" borderId="9" xfId="0" applyFont="1" applyFill="1" applyBorder="1" applyAlignment="1" applyProtection="1">
      <alignment vertical="center" wrapText="1"/>
    </xf>
    <xf numFmtId="0" fontId="73" fillId="22" borderId="9" xfId="0" applyFont="1" applyFill="1" applyBorder="1" applyAlignment="1" applyProtection="1">
      <alignment horizontal="center" vertical="center" wrapText="1"/>
    </xf>
    <xf numFmtId="2" fontId="40" fillId="22" borderId="9" xfId="0" applyNumberFormat="1" applyFont="1" applyFill="1" applyBorder="1" applyAlignment="1" applyProtection="1">
      <alignment vertical="center" wrapText="1"/>
    </xf>
    <xf numFmtId="0" fontId="41" fillId="0" borderId="9" xfId="0" applyFont="1" applyBorder="1" applyAlignment="1" applyProtection="1">
      <alignment horizontal="center" vertical="center" wrapText="1"/>
      <protection locked="0"/>
    </xf>
    <xf numFmtId="0" fontId="41" fillId="0" borderId="9" xfId="0" applyFont="1" applyBorder="1" applyAlignment="1" applyProtection="1">
      <alignment vertical="center" wrapText="1"/>
      <protection locked="0"/>
    </xf>
    <xf numFmtId="0" fontId="41" fillId="11" borderId="9" xfId="0" applyFont="1" applyFill="1" applyBorder="1" applyAlignment="1" applyProtection="1">
      <alignment horizontal="center" vertical="center" wrapText="1"/>
      <protection locked="0"/>
    </xf>
    <xf numFmtId="0" fontId="44" fillId="0" borderId="9" xfId="0" applyFont="1" applyBorder="1" applyAlignment="1" applyProtection="1">
      <alignment vertical="center" wrapText="1"/>
      <protection locked="0"/>
    </xf>
    <xf numFmtId="0" fontId="0" fillId="0" borderId="0" xfId="0" applyFill="1" applyProtection="1">
      <protection locked="0"/>
    </xf>
    <xf numFmtId="0" fontId="40" fillId="13" borderId="9" xfId="0" applyFont="1" applyFill="1" applyBorder="1" applyAlignment="1" applyProtection="1">
      <alignment vertical="center" wrapText="1"/>
      <protection locked="0"/>
    </xf>
    <xf numFmtId="0" fontId="40" fillId="0" borderId="9" xfId="0" applyFont="1" applyBorder="1" applyAlignment="1" applyProtection="1">
      <alignment vertical="center" wrapText="1"/>
      <protection locked="0"/>
    </xf>
    <xf numFmtId="0" fontId="44" fillId="14" borderId="9" xfId="0" applyFont="1" applyFill="1" applyBorder="1" applyAlignment="1" applyProtection="1">
      <alignment horizontal="center" vertical="center" wrapText="1"/>
      <protection locked="0"/>
    </xf>
    <xf numFmtId="0" fontId="48" fillId="0" borderId="0" xfId="0" applyFont="1" applyAlignment="1" applyProtection="1">
      <alignment horizontal="left" vertical="center"/>
      <protection locked="0"/>
    </xf>
    <xf numFmtId="0" fontId="49" fillId="0" borderId="0" xfId="0" applyFont="1" applyAlignment="1" applyProtection="1">
      <alignment horizontal="left"/>
      <protection locked="0"/>
    </xf>
    <xf numFmtId="0" fontId="49" fillId="0" borderId="0" xfId="0" applyFont="1" applyAlignment="1" applyProtection="1">
      <alignment wrapText="1"/>
      <protection locked="0"/>
    </xf>
    <xf numFmtId="0" fontId="14" fillId="11" borderId="0" xfId="0" applyFont="1" applyFill="1" applyProtection="1">
      <protection locked="0"/>
    </xf>
    <xf numFmtId="0" fontId="51" fillId="11" borderId="9" xfId="0" applyFont="1" applyFill="1" applyBorder="1" applyAlignment="1" applyProtection="1">
      <alignment horizontal="left" vertical="center"/>
      <protection locked="0"/>
    </xf>
    <xf numFmtId="0" fontId="57" fillId="11" borderId="25" xfId="0" applyFont="1" applyFill="1" applyBorder="1" applyAlignment="1" applyProtection="1">
      <alignment horizontal="center" vertical="center"/>
      <protection locked="0"/>
    </xf>
    <xf numFmtId="0" fontId="57" fillId="6" borderId="9" xfId="0" applyFont="1" applyFill="1" applyBorder="1" applyAlignment="1" applyProtection="1">
      <alignment horizontal="center" vertical="center"/>
      <protection locked="0"/>
    </xf>
    <xf numFmtId="0" fontId="57" fillId="6" borderId="9" xfId="0" applyFont="1" applyFill="1" applyBorder="1" applyAlignment="1" applyProtection="1">
      <alignment vertical="center"/>
      <protection locked="0"/>
    </xf>
    <xf numFmtId="0" fontId="57" fillId="11" borderId="9" xfId="0" applyFont="1" applyFill="1" applyBorder="1" applyAlignment="1" applyProtection="1">
      <alignment vertical="center"/>
      <protection locked="0"/>
    </xf>
    <xf numFmtId="0" fontId="57" fillId="11" borderId="0" xfId="0" applyFont="1" applyFill="1" applyBorder="1" applyAlignment="1" applyProtection="1">
      <alignment vertical="center"/>
      <protection locked="0"/>
    </xf>
    <xf numFmtId="0" fontId="0" fillId="11" borderId="0" xfId="0" applyFill="1" applyProtection="1">
      <protection locked="0"/>
    </xf>
    <xf numFmtId="0" fontId="0" fillId="11" borderId="0" xfId="0" applyFill="1" applyAlignment="1" applyProtection="1">
      <protection locked="0"/>
    </xf>
    <xf numFmtId="0" fontId="5" fillId="11" borderId="9" xfId="0" applyFont="1" applyFill="1" applyBorder="1" applyAlignment="1" applyProtection="1">
      <alignment horizontal="center" vertical="center"/>
      <protection locked="0"/>
    </xf>
    <xf numFmtId="0" fontId="0" fillId="11" borderId="9"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42" xfId="0" applyFill="1" applyBorder="1" applyAlignment="1" applyProtection="1">
      <alignment horizontal="center" vertical="center"/>
      <protection locked="0"/>
    </xf>
    <xf numFmtId="0" fontId="0" fillId="19" borderId="9" xfId="0" applyFill="1" applyBorder="1" applyAlignment="1" applyProtection="1">
      <alignment horizontal="center" vertical="center"/>
      <protection locked="0"/>
    </xf>
    <xf numFmtId="2" fontId="0" fillId="19" borderId="9" xfId="0" applyNumberFormat="1" applyFill="1" applyBorder="1" applyAlignment="1" applyProtection="1">
      <alignment horizontal="center" vertical="center"/>
      <protection locked="0"/>
    </xf>
    <xf numFmtId="0" fontId="0" fillId="19" borderId="42" xfId="0" applyFill="1" applyBorder="1" applyAlignment="1" applyProtection="1">
      <alignment horizontal="center" vertical="center"/>
      <protection locked="0"/>
    </xf>
    <xf numFmtId="0" fontId="0" fillId="19" borderId="9" xfId="0" quotePrefix="1" applyFill="1" applyBorder="1" applyAlignment="1" applyProtection="1">
      <alignment horizontal="center" vertical="center"/>
      <protection locked="0"/>
    </xf>
    <xf numFmtId="2" fontId="0" fillId="19" borderId="24" xfId="0" applyNumberFormat="1" applyFill="1" applyBorder="1" applyAlignment="1" applyProtection="1">
      <alignment horizontal="center" vertical="center"/>
      <protection locked="0"/>
    </xf>
    <xf numFmtId="2" fontId="0" fillId="19" borderId="42" xfId="0" applyNumberFormat="1" applyFill="1" applyBorder="1" applyAlignment="1" applyProtection="1">
      <alignment horizontal="center" vertical="center"/>
      <protection locked="0"/>
    </xf>
    <xf numFmtId="0" fontId="5" fillId="12" borderId="9" xfId="0" applyFont="1" applyFill="1" applyBorder="1" applyAlignment="1" applyProtection="1">
      <alignment horizontal="center" vertical="center"/>
      <protection locked="0"/>
    </xf>
    <xf numFmtId="2" fontId="5" fillId="12" borderId="9" xfId="0" applyNumberFormat="1" applyFont="1" applyFill="1" applyBorder="1" applyAlignment="1" applyProtection="1">
      <alignment horizontal="center" vertical="center"/>
      <protection locked="0"/>
    </xf>
    <xf numFmtId="2" fontId="0" fillId="7" borderId="9" xfId="0" applyNumberFormat="1" applyFill="1" applyBorder="1" applyAlignment="1" applyProtection="1">
      <alignment horizontal="center" vertical="center"/>
      <protection locked="0"/>
    </xf>
    <xf numFmtId="164" fontId="0" fillId="11" borderId="9" xfId="0" applyNumberFormat="1" applyFill="1" applyBorder="1" applyAlignment="1" applyProtection="1">
      <alignment horizontal="center" vertical="center"/>
      <protection locked="0"/>
    </xf>
    <xf numFmtId="164" fontId="0" fillId="11" borderId="24" xfId="0" applyNumberFormat="1" applyFill="1" applyBorder="1" applyAlignment="1" applyProtection="1">
      <alignment horizontal="center" vertical="center"/>
      <protection locked="0"/>
    </xf>
    <xf numFmtId="2" fontId="0" fillId="11" borderId="0" xfId="0" applyNumberFormat="1" applyFill="1" applyBorder="1" applyAlignment="1" applyProtection="1">
      <alignment horizontal="center" vertical="center"/>
      <protection locked="0"/>
    </xf>
    <xf numFmtId="0" fontId="0" fillId="19" borderId="25" xfId="0" applyFill="1" applyBorder="1" applyAlignment="1" applyProtection="1">
      <alignment horizontal="center" vertical="center"/>
      <protection locked="0"/>
    </xf>
    <xf numFmtId="0" fontId="0" fillId="19" borderId="23" xfId="0" applyFill="1" applyBorder="1" applyAlignment="1" applyProtection="1">
      <alignment horizontal="center" vertical="center"/>
      <protection locked="0"/>
    </xf>
    <xf numFmtId="0" fontId="8" fillId="11" borderId="0" xfId="0" applyFont="1" applyFill="1" applyProtection="1">
      <protection locked="0"/>
    </xf>
    <xf numFmtId="0" fontId="0" fillId="0" borderId="9"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164" fontId="0" fillId="0" borderId="9" xfId="0" applyNumberFormat="1" applyFill="1" applyBorder="1" applyAlignment="1" applyProtection="1">
      <alignment horizontal="center" vertical="center"/>
      <protection locked="0"/>
    </xf>
    <xf numFmtId="164" fontId="0" fillId="0" borderId="24" xfId="0" applyNumberFormat="1" applyFill="1" applyBorder="1" applyAlignment="1" applyProtection="1">
      <alignment horizontal="center" vertical="center"/>
      <protection locked="0"/>
    </xf>
    <xf numFmtId="164" fontId="0" fillId="0" borderId="42" xfId="0" applyNumberFormat="1" applyFill="1" applyBorder="1" applyAlignment="1" applyProtection="1">
      <alignment horizontal="center" vertical="center"/>
      <protection locked="0"/>
    </xf>
    <xf numFmtId="0" fontId="5" fillId="19" borderId="9" xfId="0" applyFont="1" applyFill="1" applyBorder="1" applyAlignment="1" applyProtection="1">
      <alignment horizontal="center" vertical="center"/>
      <protection locked="0"/>
    </xf>
    <xf numFmtId="2" fontId="5" fillId="19" borderId="9" xfId="0" applyNumberFormat="1" applyFont="1" applyFill="1" applyBorder="1" applyAlignment="1" applyProtection="1">
      <alignment horizontal="center" vertical="center"/>
      <protection locked="0"/>
    </xf>
    <xf numFmtId="2" fontId="5" fillId="19" borderId="24" xfId="0" applyNumberFormat="1" applyFont="1" applyFill="1" applyBorder="1" applyAlignment="1" applyProtection="1">
      <alignment horizontal="center" vertical="center"/>
      <protection locked="0"/>
    </xf>
    <xf numFmtId="2" fontId="5" fillId="19" borderId="42" xfId="0" applyNumberFormat="1" applyFont="1" applyFill="1" applyBorder="1" applyAlignment="1" applyProtection="1">
      <alignment horizontal="center" vertical="center"/>
      <protection locked="0"/>
    </xf>
    <xf numFmtId="0" fontId="5" fillId="19" borderId="9" xfId="0" applyFont="1" applyFill="1" applyBorder="1" applyProtection="1">
      <protection locked="0"/>
    </xf>
    <xf numFmtId="0" fontId="5" fillId="19" borderId="42" xfId="0" applyFont="1" applyFill="1" applyBorder="1" applyProtection="1">
      <protection locked="0"/>
    </xf>
    <xf numFmtId="0" fontId="0" fillId="0" borderId="42" xfId="0" applyFill="1" applyBorder="1" applyAlignment="1" applyProtection="1">
      <alignment horizontal="center" vertical="center"/>
      <protection locked="0"/>
    </xf>
    <xf numFmtId="0" fontId="0" fillId="19" borderId="24" xfId="0" applyFill="1" applyBorder="1" applyAlignment="1" applyProtection="1">
      <alignment horizontal="center" vertical="center"/>
      <protection locked="0"/>
    </xf>
    <xf numFmtId="168" fontId="20" fillId="19" borderId="9" xfId="0" applyNumberFormat="1" applyFont="1" applyFill="1" applyBorder="1" applyAlignment="1" applyProtection="1">
      <alignment horizontal="center" vertical="center"/>
      <protection locked="0"/>
    </xf>
    <xf numFmtId="2" fontId="20" fillId="19" borderId="9" xfId="0" applyNumberFormat="1" applyFont="1" applyFill="1" applyBorder="1" applyAlignment="1" applyProtection="1">
      <alignment horizontal="center"/>
      <protection locked="0"/>
    </xf>
    <xf numFmtId="165" fontId="20" fillId="19" borderId="42" xfId="0" applyNumberFormat="1" applyFont="1" applyFill="1" applyBorder="1" applyAlignment="1" applyProtection="1">
      <alignment horizontal="center" vertical="center"/>
      <protection locked="0"/>
    </xf>
    <xf numFmtId="165" fontId="0" fillId="11" borderId="0" xfId="0" applyNumberFormat="1" applyFill="1" applyBorder="1" applyProtection="1">
      <protection locked="0"/>
    </xf>
    <xf numFmtId="0" fontId="0" fillId="11" borderId="0" xfId="0" applyFill="1" applyBorder="1" applyProtection="1">
      <protection locked="0"/>
    </xf>
    <xf numFmtId="0" fontId="0" fillId="11" borderId="0" xfId="0" applyFill="1" applyBorder="1" applyAlignment="1" applyProtection="1">
      <alignment horizontal="right"/>
      <protection locked="0"/>
    </xf>
    <xf numFmtId="2" fontId="20" fillId="19" borderId="9" xfId="0" applyNumberFormat="1" applyFont="1" applyFill="1" applyBorder="1" applyAlignment="1" applyProtection="1">
      <alignment horizontal="center" vertical="center"/>
      <protection locked="0"/>
    </xf>
    <xf numFmtId="165" fontId="20" fillId="19" borderId="9" xfId="0" applyNumberFormat="1" applyFont="1" applyFill="1" applyBorder="1" applyAlignment="1" applyProtection="1">
      <alignment horizontal="center" vertical="center"/>
      <protection locked="0"/>
    </xf>
    <xf numFmtId="2" fontId="20" fillId="19" borderId="42" xfId="0" applyNumberFormat="1" applyFont="1" applyFill="1" applyBorder="1" applyAlignment="1" applyProtection="1">
      <alignment horizontal="center" vertical="center"/>
      <protection locked="0"/>
    </xf>
    <xf numFmtId="0" fontId="0" fillId="11" borderId="0" xfId="0" applyFill="1" applyBorder="1" applyAlignment="1" applyProtection="1">
      <alignment horizontal="center"/>
      <protection locked="0"/>
    </xf>
    <xf numFmtId="0" fontId="0" fillId="11" borderId="0" xfId="0" applyFill="1" applyBorder="1" applyAlignment="1" applyProtection="1">
      <alignment horizontal="right" vertical="top"/>
      <protection locked="0"/>
    </xf>
    <xf numFmtId="167" fontId="20" fillId="19" borderId="9" xfId="0" applyNumberFormat="1" applyFont="1" applyFill="1" applyBorder="1" applyAlignment="1" applyProtection="1">
      <alignment horizontal="center" vertical="top"/>
      <protection locked="0"/>
    </xf>
    <xf numFmtId="2" fontId="20" fillId="19" borderId="9" xfId="0" applyNumberFormat="1" applyFont="1" applyFill="1" applyBorder="1" applyAlignment="1" applyProtection="1">
      <alignment horizontal="center" vertical="top"/>
      <protection locked="0"/>
    </xf>
    <xf numFmtId="165" fontId="20" fillId="19" borderId="42" xfId="0" applyNumberFormat="1" applyFont="1" applyFill="1" applyBorder="1" applyAlignment="1" applyProtection="1">
      <alignment horizontal="center" vertical="top"/>
      <protection locked="0"/>
    </xf>
    <xf numFmtId="0" fontId="0" fillId="11" borderId="0" xfId="0" applyFill="1" applyBorder="1" applyAlignment="1" applyProtection="1">
      <alignment vertical="top"/>
      <protection locked="0"/>
    </xf>
    <xf numFmtId="0" fontId="0" fillId="11" borderId="0" xfId="0" applyFill="1" applyAlignment="1" applyProtection="1">
      <alignment vertical="top"/>
      <protection locked="0"/>
    </xf>
    <xf numFmtId="0" fontId="20" fillId="19" borderId="9" xfId="0" applyFont="1" applyFill="1" applyBorder="1" applyAlignment="1" applyProtection="1">
      <alignment horizontal="center" vertical="center"/>
      <protection locked="0"/>
    </xf>
    <xf numFmtId="1" fontId="20" fillId="19" borderId="9" xfId="0" applyNumberFormat="1" applyFont="1" applyFill="1" applyBorder="1" applyAlignment="1" applyProtection="1">
      <alignment horizontal="center" vertical="center"/>
      <protection locked="0"/>
    </xf>
    <xf numFmtId="164" fontId="20" fillId="19" borderId="42" xfId="0" applyNumberFormat="1" applyFont="1" applyFill="1" applyBorder="1" applyAlignment="1" applyProtection="1">
      <alignment horizontal="center" vertical="center"/>
      <protection locked="0"/>
    </xf>
    <xf numFmtId="167" fontId="20" fillId="19" borderId="42" xfId="0" applyNumberFormat="1" applyFont="1" applyFill="1" applyBorder="1" applyAlignment="1" applyProtection="1">
      <alignment horizontal="center" vertical="top"/>
      <protection locked="0"/>
    </xf>
    <xf numFmtId="2" fontId="0" fillId="11" borderId="9" xfId="0" applyNumberFormat="1" applyFill="1" applyBorder="1" applyAlignment="1" applyProtection="1">
      <alignment horizontal="center" vertical="center"/>
      <protection locked="0"/>
    </xf>
    <xf numFmtId="2" fontId="0" fillId="11" borderId="24" xfId="0" applyNumberFormat="1" applyFill="1" applyBorder="1" applyAlignment="1" applyProtection="1">
      <alignment horizontal="center" vertical="center"/>
      <protection locked="0"/>
    </xf>
    <xf numFmtId="2" fontId="0" fillId="11" borderId="42" xfId="0" applyNumberFormat="1" applyFill="1" applyBorder="1" applyAlignment="1" applyProtection="1">
      <alignment horizontal="center" vertical="center"/>
      <protection locked="0"/>
    </xf>
    <xf numFmtId="165" fontId="0" fillId="19" borderId="9" xfId="0" applyNumberFormat="1" applyFill="1" applyBorder="1" applyAlignment="1" applyProtection="1">
      <alignment horizontal="center" vertical="center"/>
      <protection locked="0"/>
    </xf>
    <xf numFmtId="0" fontId="14" fillId="11" borderId="9" xfId="0" applyFont="1" applyFill="1" applyBorder="1" applyAlignment="1" applyProtection="1">
      <alignment horizontal="center" vertical="center"/>
      <protection locked="0"/>
    </xf>
    <xf numFmtId="165" fontId="0" fillId="19" borderId="24" xfId="0" applyNumberFormat="1" applyFill="1" applyBorder="1" applyAlignment="1" applyProtection="1">
      <alignment horizontal="center" vertical="center"/>
      <protection locked="0"/>
    </xf>
    <xf numFmtId="167" fontId="0" fillId="19" borderId="9" xfId="0" applyNumberFormat="1" applyFill="1" applyBorder="1" applyAlignment="1" applyProtection="1">
      <alignment horizontal="center" vertical="center"/>
      <protection locked="0"/>
    </xf>
    <xf numFmtId="167" fontId="0" fillId="19" borderId="42" xfId="0" applyNumberFormat="1" applyFill="1" applyBorder="1" applyAlignment="1" applyProtection="1">
      <alignment horizontal="center" vertical="center"/>
      <protection locked="0"/>
    </xf>
    <xf numFmtId="1" fontId="0" fillId="19" borderId="42" xfId="0" applyNumberFormat="1" applyFill="1" applyBorder="1" applyAlignment="1" applyProtection="1">
      <alignment horizontal="center" vertical="center"/>
      <protection locked="0"/>
    </xf>
    <xf numFmtId="1" fontId="0" fillId="11" borderId="0" xfId="0" applyNumberFormat="1" applyFill="1" applyProtection="1">
      <protection locked="0"/>
    </xf>
    <xf numFmtId="2" fontId="14" fillId="19" borderId="9" xfId="0" applyNumberFormat="1" applyFont="1" applyFill="1" applyBorder="1" applyAlignment="1" applyProtection="1">
      <alignment horizontal="center" vertical="center"/>
      <protection locked="0"/>
    </xf>
    <xf numFmtId="2" fontId="14" fillId="11" borderId="24" xfId="0" applyNumberFormat="1" applyFont="1" applyFill="1" applyBorder="1" applyAlignment="1" applyProtection="1">
      <alignment horizontal="center" vertical="center"/>
      <protection locked="0"/>
    </xf>
    <xf numFmtId="2" fontId="14" fillId="19" borderId="24" xfId="0" applyNumberFormat="1" applyFont="1" applyFill="1" applyBorder="1" applyAlignment="1" applyProtection="1">
      <alignment horizontal="center" vertical="center"/>
      <protection locked="0"/>
    </xf>
    <xf numFmtId="165" fontId="0" fillId="19" borderId="42" xfId="0" applyNumberFormat="1" applyFill="1" applyBorder="1" applyAlignment="1" applyProtection="1">
      <alignment horizontal="center" vertical="center"/>
      <protection locked="0"/>
    </xf>
    <xf numFmtId="0" fontId="0" fillId="11" borderId="0" xfId="0" applyFill="1" applyBorder="1" applyAlignment="1" applyProtection="1">
      <alignment vertical="center"/>
      <protection locked="0"/>
    </xf>
    <xf numFmtId="165" fontId="0" fillId="11" borderId="9" xfId="0" applyNumberFormat="1" applyFill="1" applyBorder="1" applyAlignment="1" applyProtection="1">
      <alignment horizontal="center" vertical="center"/>
      <protection locked="0"/>
    </xf>
    <xf numFmtId="165" fontId="0" fillId="11" borderId="24" xfId="0" applyNumberFormat="1" applyFill="1" applyBorder="1" applyAlignment="1" applyProtection="1">
      <alignment horizontal="center" vertical="center"/>
      <protection locked="0"/>
    </xf>
    <xf numFmtId="0" fontId="65" fillId="0" borderId="0" xfId="0" applyFont="1" applyFill="1" applyProtection="1">
      <protection locked="0"/>
    </xf>
    <xf numFmtId="0" fontId="14" fillId="0" borderId="9" xfId="0" applyFont="1" applyFill="1" applyBorder="1" applyAlignment="1" applyProtection="1">
      <alignment horizontal="center" vertical="center"/>
      <protection locked="0"/>
    </xf>
    <xf numFmtId="0" fontId="14" fillId="0" borderId="42" xfId="0" applyFont="1" applyFill="1" applyBorder="1" applyAlignment="1" applyProtection="1">
      <alignment horizontal="center" vertical="center"/>
      <protection locked="0"/>
    </xf>
    <xf numFmtId="0" fontId="14" fillId="19" borderId="9" xfId="0" applyFont="1" applyFill="1" applyBorder="1" applyAlignment="1" applyProtection="1">
      <alignment horizontal="center" vertical="center"/>
      <protection locked="0"/>
    </xf>
    <xf numFmtId="0" fontId="14" fillId="19" borderId="42" xfId="0" applyFont="1" applyFill="1" applyBorder="1" applyAlignment="1" applyProtection="1">
      <alignment horizontal="center" vertical="center"/>
      <protection locked="0"/>
    </xf>
    <xf numFmtId="0" fontId="0" fillId="19" borderId="9" xfId="0" applyFill="1" applyBorder="1" applyProtection="1">
      <protection locked="0"/>
    </xf>
    <xf numFmtId="0" fontId="0" fillId="19" borderId="42" xfId="0" applyFill="1" applyBorder="1" applyProtection="1">
      <protection locked="0"/>
    </xf>
    <xf numFmtId="2" fontId="0" fillId="0" borderId="9" xfId="0" applyNumberFormat="1" applyFill="1" applyBorder="1" applyAlignment="1" applyProtection="1">
      <alignment horizontal="center" vertical="center"/>
      <protection locked="0"/>
    </xf>
    <xf numFmtId="2" fontId="0" fillId="0" borderId="24" xfId="0" applyNumberFormat="1" applyFill="1" applyBorder="1" applyAlignment="1" applyProtection="1">
      <alignment horizontal="center" vertical="center"/>
      <protection locked="0"/>
    </xf>
    <xf numFmtId="2" fontId="0" fillId="0" borderId="42" xfId="0" applyNumberFormat="1" applyFill="1" applyBorder="1" applyAlignment="1" applyProtection="1">
      <alignment horizontal="center" vertical="center"/>
      <protection locked="0"/>
    </xf>
    <xf numFmtId="2" fontId="0" fillId="12" borderId="9" xfId="0" applyNumberFormat="1" applyFill="1" applyBorder="1" applyAlignment="1" applyProtection="1">
      <alignment horizontal="center" vertical="center"/>
      <protection locked="0"/>
    </xf>
    <xf numFmtId="2" fontId="0" fillId="12" borderId="24" xfId="0" applyNumberFormat="1" applyFill="1" applyBorder="1" applyAlignment="1" applyProtection="1">
      <alignment horizontal="center" vertical="center"/>
      <protection locked="0"/>
    </xf>
    <xf numFmtId="2" fontId="0" fillId="12" borderId="42" xfId="0" applyNumberFormat="1" applyFill="1" applyBorder="1" applyAlignment="1" applyProtection="1">
      <alignment horizontal="center" vertical="center"/>
      <protection locked="0"/>
    </xf>
    <xf numFmtId="2" fontId="8" fillId="19" borderId="42" xfId="0" applyNumberFormat="1" applyFont="1" applyFill="1" applyBorder="1" applyAlignment="1" applyProtection="1">
      <alignment horizontal="center" vertical="center"/>
      <protection locked="0"/>
    </xf>
    <xf numFmtId="165" fontId="14" fillId="19" borderId="9" xfId="0" applyNumberFormat="1" applyFont="1" applyFill="1" applyBorder="1" applyAlignment="1" applyProtection="1">
      <alignment horizontal="center" vertical="center"/>
      <protection locked="0"/>
    </xf>
    <xf numFmtId="1" fontId="14" fillId="12" borderId="9" xfId="0" applyNumberFormat="1" applyFont="1" applyFill="1" applyBorder="1" applyAlignment="1" applyProtection="1">
      <alignment horizontal="center" vertical="center"/>
      <protection locked="0"/>
    </xf>
    <xf numFmtId="1" fontId="0" fillId="12" borderId="42" xfId="0" applyNumberFormat="1" applyFill="1" applyBorder="1" applyAlignment="1" applyProtection="1">
      <alignment horizontal="center" vertical="center"/>
      <protection locked="0"/>
    </xf>
    <xf numFmtId="2" fontId="14" fillId="12" borderId="9" xfId="0" applyNumberFormat="1" applyFont="1" applyFill="1" applyBorder="1" applyAlignment="1" applyProtection="1">
      <alignment horizontal="center" vertical="center"/>
      <protection locked="0"/>
    </xf>
    <xf numFmtId="0" fontId="5" fillId="19" borderId="54" xfId="0" applyFont="1" applyFill="1" applyBorder="1" applyAlignment="1" applyProtection="1">
      <alignment horizontal="center" vertical="center"/>
      <protection locked="0"/>
    </xf>
    <xf numFmtId="2" fontId="5" fillId="19" borderId="54" xfId="0" applyNumberFormat="1" applyFont="1" applyFill="1" applyBorder="1" applyAlignment="1" applyProtection="1">
      <alignment horizontal="center" vertical="center"/>
      <protection locked="0"/>
    </xf>
    <xf numFmtId="2" fontId="5" fillId="19" borderId="55" xfId="0" applyNumberFormat="1" applyFont="1" applyFill="1" applyBorder="1" applyAlignment="1" applyProtection="1">
      <alignment horizontal="center" vertical="center"/>
      <protection locked="0"/>
    </xf>
    <xf numFmtId="0" fontId="39" fillId="11" borderId="0" xfId="0" applyFont="1" applyFill="1" applyBorder="1" applyAlignment="1" applyProtection="1">
      <alignment horizontal="center" vertical="center"/>
      <protection locked="0"/>
    </xf>
    <xf numFmtId="0" fontId="39" fillId="11" borderId="0" xfId="0" applyFont="1" applyFill="1" applyBorder="1" applyAlignment="1" applyProtection="1">
      <alignment horizontal="right" vertical="center"/>
      <protection locked="0"/>
    </xf>
    <xf numFmtId="0" fontId="39" fillId="11" borderId="0" xfId="0" applyFont="1" applyFill="1" applyBorder="1" applyAlignment="1" applyProtection="1">
      <alignment vertical="center"/>
      <protection locked="0"/>
    </xf>
    <xf numFmtId="0" fontId="39" fillId="11" borderId="0" xfId="0" applyFont="1" applyFill="1" applyBorder="1" applyAlignment="1" applyProtection="1">
      <alignment horizontal="left" vertical="center"/>
      <protection locked="0"/>
    </xf>
    <xf numFmtId="0" fontId="0" fillId="11" borderId="0" xfId="0" applyFont="1" applyFill="1" applyBorder="1" applyAlignment="1" applyProtection="1">
      <alignment horizontal="center" vertical="center"/>
      <protection locked="0"/>
    </xf>
    <xf numFmtId="0" fontId="0" fillId="11"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xf>
    <xf numFmtId="2" fontId="0" fillId="0" borderId="0" xfId="0" applyNumberFormat="1" applyFill="1" applyBorder="1" applyAlignment="1" applyProtection="1">
      <alignment horizontal="center" vertical="center"/>
    </xf>
    <xf numFmtId="0" fontId="0" fillId="7" borderId="9" xfId="0" applyFill="1" applyBorder="1" applyProtection="1"/>
    <xf numFmtId="0" fontId="0" fillId="7" borderId="42" xfId="0" applyFill="1" applyBorder="1" applyProtection="1"/>
    <xf numFmtId="1" fontId="34" fillId="8" borderId="9" xfId="0" applyNumberFormat="1" applyFont="1" applyFill="1" applyBorder="1" applyAlignment="1" applyProtection="1">
      <alignment horizontal="center" vertical="center"/>
    </xf>
    <xf numFmtId="1" fontId="34" fillId="8" borderId="42" xfId="0" applyNumberFormat="1" applyFont="1" applyFill="1" applyBorder="1" applyAlignment="1" applyProtection="1">
      <alignment horizontal="center" vertical="center"/>
    </xf>
    <xf numFmtId="0" fontId="14" fillId="0" borderId="40" xfId="0" applyFont="1" applyBorder="1" applyProtection="1"/>
    <xf numFmtId="0" fontId="14" fillId="0" borderId="0" xfId="0" applyFont="1" applyBorder="1" applyProtection="1"/>
    <xf numFmtId="2" fontId="14" fillId="7" borderId="24" xfId="0" applyNumberFormat="1" applyFont="1" applyFill="1" applyBorder="1" applyAlignment="1" applyProtection="1">
      <alignment horizontal="center" vertical="center"/>
    </xf>
    <xf numFmtId="165" fontId="14" fillId="7" borderId="24" xfId="0" applyNumberFormat="1" applyFont="1" applyFill="1" applyBorder="1" applyAlignment="1" applyProtection="1">
      <alignment horizontal="center" vertical="center"/>
    </xf>
    <xf numFmtId="2" fontId="14" fillId="8" borderId="24" xfId="0" applyNumberFormat="1" applyFont="1" applyFill="1" applyBorder="1" applyAlignment="1" applyProtection="1">
      <alignment horizontal="center" vertical="center"/>
    </xf>
    <xf numFmtId="0" fontId="8" fillId="0" borderId="9" xfId="0" applyFont="1" applyFill="1" applyBorder="1" applyAlignment="1" applyProtection="1">
      <alignment vertical="center"/>
    </xf>
    <xf numFmtId="0" fontId="0" fillId="0" borderId="9" xfId="0" applyFill="1" applyBorder="1" applyAlignment="1" applyProtection="1">
      <alignment vertical="center" wrapText="1"/>
    </xf>
    <xf numFmtId="0" fontId="0" fillId="0" borderId="9" xfId="0" applyFill="1" applyBorder="1" applyAlignment="1" applyProtection="1">
      <alignment horizontal="center" wrapText="1"/>
    </xf>
    <xf numFmtId="0" fontId="0" fillId="0" borderId="9" xfId="0" applyFill="1" applyBorder="1" applyAlignment="1" applyProtection="1">
      <alignment horizontal="center" vertical="center" wrapText="1"/>
    </xf>
    <xf numFmtId="165" fontId="71" fillId="7" borderId="9" xfId="0" applyNumberFormat="1" applyFont="1" applyFill="1" applyBorder="1" applyAlignment="1" applyProtection="1">
      <alignment horizontal="center" vertical="center" wrapText="1"/>
    </xf>
    <xf numFmtId="0" fontId="14" fillId="0" borderId="0" xfId="0" applyFont="1" applyAlignment="1" applyProtection="1">
      <alignment horizontal="center"/>
    </xf>
    <xf numFmtId="0" fontId="20" fillId="0" borderId="0" xfId="0" applyFont="1" applyAlignment="1" applyProtection="1">
      <alignment horizontal="center"/>
    </xf>
    <xf numFmtId="0" fontId="20" fillId="0" borderId="0" xfId="0" applyFont="1" applyProtection="1"/>
    <xf numFmtId="0" fontId="21" fillId="0" borderId="0" xfId="0" applyFont="1" applyAlignment="1" applyProtection="1">
      <alignment horizontal="center" vertical="center"/>
    </xf>
    <xf numFmtId="0" fontId="22" fillId="0" borderId="0" xfId="0" applyFont="1" applyBorder="1" applyAlignment="1" applyProtection="1">
      <alignment vertical="center"/>
    </xf>
    <xf numFmtId="0" fontId="13" fillId="0" borderId="0" xfId="0" applyFont="1" applyAlignment="1" applyProtection="1">
      <alignment horizontal="center" vertical="center"/>
    </xf>
    <xf numFmtId="0" fontId="22" fillId="0" borderId="0" xfId="0" applyFont="1" applyBorder="1" applyAlignment="1" applyProtection="1">
      <alignment horizontal="center" vertical="center"/>
    </xf>
    <xf numFmtId="0" fontId="23" fillId="0" borderId="0" xfId="0" applyFont="1" applyAlignment="1" applyProtection="1">
      <alignment horizontal="left" vertical="center"/>
    </xf>
    <xf numFmtId="0" fontId="23" fillId="0" borderId="0" xfId="0" applyFont="1" applyProtection="1"/>
    <xf numFmtId="0" fontId="20" fillId="0" borderId="0" xfId="0" applyFont="1" applyAlignment="1" applyProtection="1">
      <alignment horizontal="center" vertical="center"/>
    </xf>
    <xf numFmtId="0" fontId="24" fillId="0" borderId="0" xfId="0" applyFont="1" applyAlignment="1" applyProtection="1">
      <alignment horizontal="left" vertical="center"/>
    </xf>
    <xf numFmtId="0" fontId="13" fillId="0" borderId="39" xfId="0" applyFont="1" applyBorder="1" applyAlignment="1" applyProtection="1">
      <alignment horizontal="center" vertical="center"/>
    </xf>
    <xf numFmtId="0" fontId="26" fillId="0" borderId="38" xfId="0" applyFont="1" applyBorder="1" applyAlignment="1" applyProtection="1">
      <alignment vertical="center"/>
    </xf>
    <xf numFmtId="0" fontId="25" fillId="0" borderId="38" xfId="0" applyFont="1" applyBorder="1" applyProtection="1"/>
    <xf numFmtId="0" fontId="25" fillId="0" borderId="37" xfId="0" applyFont="1" applyBorder="1" applyProtection="1"/>
    <xf numFmtId="0" fontId="14" fillId="0" borderId="39" xfId="0" applyFont="1" applyBorder="1" applyAlignment="1" applyProtection="1">
      <alignment horizontal="center"/>
    </xf>
    <xf numFmtId="0" fontId="26" fillId="0" borderId="38" xfId="0" applyFont="1" applyBorder="1" applyAlignment="1" applyProtection="1">
      <alignment horizontal="left" vertical="center"/>
    </xf>
    <xf numFmtId="0" fontId="14" fillId="0" borderId="38" xfId="0" applyFont="1" applyBorder="1" applyAlignment="1" applyProtection="1">
      <alignment horizontal="center"/>
    </xf>
    <xf numFmtId="0" fontId="26" fillId="0" borderId="40" xfId="0" applyFont="1" applyBorder="1" applyAlignment="1" applyProtection="1">
      <alignment horizontal="center" vertical="center"/>
    </xf>
    <xf numFmtId="0" fontId="20" fillId="0" borderId="0" xfId="0" applyFont="1" applyAlignment="1" applyProtection="1">
      <alignment vertical="center"/>
    </xf>
    <xf numFmtId="0" fontId="26" fillId="5" borderId="9" xfId="0" applyFont="1" applyFill="1" applyBorder="1" applyAlignment="1" applyProtection="1">
      <alignment horizontal="center" vertical="center"/>
    </xf>
    <xf numFmtId="0" fontId="14" fillId="0" borderId="40" xfId="0" applyFont="1" applyBorder="1" applyAlignment="1" applyProtection="1">
      <alignment horizontal="center"/>
    </xf>
    <xf numFmtId="0" fontId="13" fillId="0" borderId="0" xfId="0" applyFont="1" applyBorder="1" applyAlignment="1" applyProtection="1">
      <alignment vertical="center"/>
    </xf>
    <xf numFmtId="0" fontId="14" fillId="0" borderId="6" xfId="0" applyFont="1" applyBorder="1" applyProtection="1"/>
    <xf numFmtId="0" fontId="20" fillId="0" borderId="0" xfId="0" applyFont="1" applyAlignment="1" applyProtection="1"/>
    <xf numFmtId="0" fontId="26" fillId="4" borderId="41" xfId="0" applyFont="1" applyFill="1" applyBorder="1" applyAlignment="1" applyProtection="1">
      <alignment horizontal="center" vertical="center" wrapText="1"/>
    </xf>
    <xf numFmtId="0" fontId="26" fillId="4" borderId="9" xfId="0" applyFont="1" applyFill="1" applyBorder="1" applyAlignment="1" applyProtection="1">
      <alignment horizontal="center" vertical="center" wrapText="1"/>
    </xf>
    <xf numFmtId="0" fontId="22" fillId="0" borderId="41" xfId="0" applyFont="1" applyBorder="1" applyAlignment="1" applyProtection="1">
      <alignment horizontal="center" vertical="center" wrapText="1"/>
    </xf>
    <xf numFmtId="0" fontId="22" fillId="0" borderId="9" xfId="0" applyFont="1" applyBorder="1" applyAlignment="1" applyProtection="1">
      <alignment vertical="center" wrapText="1"/>
    </xf>
    <xf numFmtId="0" fontId="22" fillId="0" borderId="9" xfId="0" applyFont="1" applyBorder="1" applyAlignment="1" applyProtection="1">
      <alignment horizontal="center" vertical="center" wrapText="1"/>
    </xf>
    <xf numFmtId="0" fontId="13" fillId="0" borderId="40" xfId="0" applyFont="1" applyBorder="1" applyAlignment="1" applyProtection="1">
      <alignment horizontal="center" vertical="center"/>
    </xf>
    <xf numFmtId="164" fontId="26" fillId="0" borderId="41" xfId="0" applyNumberFormat="1" applyFont="1" applyBorder="1" applyAlignment="1" applyProtection="1">
      <alignment horizontal="center" vertical="center" wrapText="1"/>
    </xf>
    <xf numFmtId="0" fontId="26" fillId="0" borderId="9" xfId="0" applyFont="1" applyBorder="1" applyAlignment="1" applyProtection="1">
      <alignment vertical="center" wrapText="1"/>
    </xf>
    <xf numFmtId="0" fontId="13" fillId="0" borderId="9" xfId="0" applyFont="1" applyBorder="1" applyAlignment="1" applyProtection="1">
      <alignment horizontal="center" vertical="center" wrapText="1"/>
    </xf>
    <xf numFmtId="0" fontId="13" fillId="0" borderId="9" xfId="0" applyFont="1" applyBorder="1" applyAlignment="1" applyProtection="1">
      <alignment vertical="center" wrapText="1"/>
    </xf>
    <xf numFmtId="0" fontId="20" fillId="0" borderId="40" xfId="0" applyFont="1" applyBorder="1" applyProtection="1"/>
    <xf numFmtId="0" fontId="20" fillId="0" borderId="0" xfId="0" applyFont="1" applyBorder="1" applyProtection="1"/>
    <xf numFmtId="0" fontId="20" fillId="0" borderId="9" xfId="0" applyFont="1" applyBorder="1" applyProtection="1"/>
    <xf numFmtId="0" fontId="26" fillId="0" borderId="49" xfId="0" applyFont="1" applyBorder="1" applyAlignment="1" applyProtection="1">
      <alignment horizontal="center" vertical="center" wrapText="1"/>
    </xf>
    <xf numFmtId="0" fontId="26" fillId="0" borderId="15" xfId="0" applyFont="1" applyBorder="1" applyAlignment="1" applyProtection="1">
      <alignment vertical="center" wrapText="1"/>
    </xf>
    <xf numFmtId="0" fontId="13" fillId="0" borderId="15" xfId="0" applyFont="1" applyBorder="1" applyAlignment="1" applyProtection="1">
      <alignment horizontal="center" vertical="center" wrapText="1"/>
    </xf>
    <xf numFmtId="0" fontId="13" fillId="0" borderId="0" xfId="0" applyFont="1" applyBorder="1" applyAlignment="1" applyProtection="1">
      <alignment horizontal="left" vertical="center" indent="5"/>
    </xf>
    <xf numFmtId="0" fontId="14" fillId="0" borderId="40" xfId="0" applyFont="1" applyBorder="1" applyAlignment="1" applyProtection="1">
      <alignment horizontal="center" vertical="top"/>
    </xf>
    <xf numFmtId="0" fontId="14" fillId="0" borderId="0" xfId="0" applyFont="1" applyBorder="1" applyAlignment="1" applyProtection="1">
      <alignment vertical="top"/>
    </xf>
    <xf numFmtId="164" fontId="13" fillId="0" borderId="40" xfId="0" applyNumberFormat="1" applyFont="1" applyBorder="1" applyAlignment="1" applyProtection="1">
      <alignment horizontal="center" vertical="center"/>
    </xf>
    <xf numFmtId="0" fontId="13" fillId="0" borderId="0" xfId="0" applyFont="1" applyBorder="1" applyProtection="1"/>
    <xf numFmtId="0" fontId="2" fillId="0" borderId="42" xfId="0" applyFont="1" applyBorder="1" applyAlignment="1" applyProtection="1">
      <alignment horizontal="center" vertical="center" wrapText="1"/>
    </xf>
    <xf numFmtId="0" fontId="13" fillId="0" borderId="6" xfId="0" applyFont="1" applyBorder="1" applyAlignment="1" applyProtection="1">
      <alignment vertical="center"/>
    </xf>
    <xf numFmtId="0" fontId="14" fillId="0" borderId="6" xfId="0" applyFont="1" applyBorder="1" applyAlignment="1" applyProtection="1">
      <alignment vertical="top"/>
    </xf>
    <xf numFmtId="0" fontId="13" fillId="0" borderId="0" xfId="0" applyFont="1" applyBorder="1" applyAlignment="1" applyProtection="1">
      <alignment vertical="top"/>
    </xf>
    <xf numFmtId="0" fontId="14" fillId="0" borderId="40" xfId="0" applyFont="1" applyBorder="1" applyAlignment="1" applyProtection="1">
      <alignment vertical="top"/>
    </xf>
    <xf numFmtId="0" fontId="20" fillId="0" borderId="0" xfId="0" applyFont="1" applyAlignment="1" applyProtection="1">
      <alignment vertical="top"/>
    </xf>
    <xf numFmtId="0" fontId="20" fillId="0" borderId="17" xfId="0" applyFont="1" applyBorder="1" applyAlignment="1" applyProtection="1">
      <alignment vertical="top"/>
    </xf>
    <xf numFmtId="0" fontId="14" fillId="0" borderId="0" xfId="0" applyFont="1" applyBorder="1" applyAlignment="1" applyProtection="1">
      <alignment horizontal="left" vertical="top" wrapText="1"/>
    </xf>
    <xf numFmtId="0" fontId="14" fillId="0" borderId="6" xfId="0" applyFont="1" applyBorder="1" applyAlignment="1" applyProtection="1">
      <alignment horizontal="left" vertical="top" wrapText="1"/>
    </xf>
    <xf numFmtId="0" fontId="14" fillId="0" borderId="29" xfId="0" applyFont="1" applyBorder="1" applyAlignment="1" applyProtection="1">
      <alignment vertical="top"/>
    </xf>
    <xf numFmtId="0" fontId="14" fillId="0" borderId="28" xfId="0" applyFont="1" applyBorder="1" applyAlignment="1" applyProtection="1">
      <alignment horizontal="left" vertical="top" wrapText="1"/>
    </xf>
    <xf numFmtId="0" fontId="14" fillId="0" borderId="5" xfId="0" applyFont="1" applyBorder="1" applyAlignment="1" applyProtection="1">
      <alignment horizontal="left" vertical="top" wrapText="1"/>
    </xf>
    <xf numFmtId="0" fontId="13" fillId="0" borderId="0" xfId="0" applyFont="1" applyBorder="1" applyAlignment="1" applyProtection="1">
      <alignment horizontal="center" vertical="center"/>
    </xf>
    <xf numFmtId="0" fontId="20" fillId="0" borderId="0" xfId="0" applyFont="1" applyBorder="1" applyAlignment="1" applyProtection="1">
      <alignment vertical="top"/>
    </xf>
    <xf numFmtId="0" fontId="14" fillId="0" borderId="0" xfId="0" applyFont="1" applyBorder="1" applyAlignment="1" applyProtection="1">
      <alignment horizontal="center" vertical="top"/>
    </xf>
    <xf numFmtId="0" fontId="22" fillId="0" borderId="0" xfId="0" applyFont="1" applyBorder="1" applyAlignment="1" applyProtection="1">
      <alignment horizontal="left" vertical="top"/>
    </xf>
    <xf numFmtId="0" fontId="20" fillId="0" borderId="0" xfId="0" applyFont="1" applyBorder="1" applyAlignment="1" applyProtection="1">
      <alignment horizontal="left" vertical="top"/>
    </xf>
    <xf numFmtId="0" fontId="13" fillId="7" borderId="9" xfId="0" applyFont="1" applyFill="1" applyBorder="1" applyAlignment="1" applyProtection="1">
      <alignment vertical="center" wrapText="1"/>
    </xf>
    <xf numFmtId="0" fontId="14" fillId="0" borderId="38" xfId="0" applyFont="1" applyBorder="1" applyProtection="1"/>
    <xf numFmtId="0" fontId="14" fillId="0" borderId="37" xfId="0" applyFont="1" applyBorder="1" applyProtection="1"/>
    <xf numFmtId="0" fontId="27" fillId="5" borderId="42" xfId="0" applyFont="1" applyFill="1" applyBorder="1" applyAlignment="1" applyProtection="1">
      <alignment horizontal="center" vertical="center"/>
    </xf>
    <xf numFmtId="0" fontId="14" fillId="4" borderId="42" xfId="0" applyFont="1" applyFill="1" applyBorder="1" applyProtection="1"/>
    <xf numFmtId="0" fontId="0" fillId="0" borderId="54" xfId="0" applyBorder="1" applyAlignment="1" applyProtection="1">
      <alignment vertical="top" wrapText="1"/>
    </xf>
    <xf numFmtId="0" fontId="4" fillId="5" borderId="0" xfId="0" applyFont="1" applyFill="1" applyAlignment="1" applyProtection="1">
      <alignment vertical="center"/>
    </xf>
    <xf numFmtId="0" fontId="16" fillId="5" borderId="0" xfId="0" applyFont="1" applyFill="1" applyAlignment="1" applyProtection="1">
      <alignment vertical="center"/>
    </xf>
    <xf numFmtId="0" fontId="10" fillId="0" borderId="0" xfId="0" applyFont="1" applyAlignment="1" applyProtection="1">
      <alignment vertical="center"/>
    </xf>
    <xf numFmtId="0" fontId="1" fillId="0" borderId="28" xfId="0" applyFont="1" applyBorder="1" applyAlignment="1" applyProtection="1">
      <alignment horizontal="left" vertical="center"/>
    </xf>
    <xf numFmtId="0" fontId="2" fillId="0" borderId="39" xfId="0" applyFont="1" applyBorder="1" applyAlignment="1" applyProtection="1">
      <alignment horizontal="center" vertical="center"/>
    </xf>
    <xf numFmtId="0" fontId="1" fillId="0" borderId="38" xfId="0" applyFont="1" applyBorder="1" applyAlignment="1" applyProtection="1">
      <alignment vertical="center"/>
    </xf>
    <xf numFmtId="0" fontId="4" fillId="0" borderId="38" xfId="0" applyFont="1" applyBorder="1" applyProtection="1"/>
    <xf numFmtId="0" fontId="4" fillId="0" borderId="37" xfId="0" applyFont="1" applyBorder="1" applyProtection="1"/>
    <xf numFmtId="0" fontId="2" fillId="0" borderId="0" xfId="0" applyFont="1" applyAlignment="1" applyProtection="1">
      <alignment horizontal="left" vertical="center" indent="5"/>
    </xf>
    <xf numFmtId="0" fontId="1" fillId="5" borderId="43" xfId="0" applyFont="1" applyFill="1" applyBorder="1" applyAlignment="1" applyProtection="1">
      <alignment horizontal="center" vertical="center"/>
    </xf>
    <xf numFmtId="0" fontId="1" fillId="5" borderId="44" xfId="0" applyFont="1" applyFill="1" applyBorder="1" applyAlignment="1" applyProtection="1">
      <alignment horizontal="center" vertical="center"/>
    </xf>
    <xf numFmtId="0" fontId="2" fillId="0" borderId="0" xfId="0" applyFont="1" applyBorder="1" applyProtection="1"/>
    <xf numFmtId="0" fontId="2" fillId="0" borderId="6" xfId="0" applyFont="1" applyBorder="1" applyProtection="1"/>
    <xf numFmtId="0" fontId="2" fillId="3" borderId="41" xfId="0" applyFont="1" applyFill="1" applyBorder="1" applyAlignment="1" applyProtection="1">
      <alignment horizontal="center" vertical="center" wrapText="1"/>
    </xf>
    <xf numFmtId="0" fontId="2" fillId="3" borderId="9" xfId="0" applyFont="1" applyFill="1" applyBorder="1" applyAlignment="1" applyProtection="1">
      <alignment vertical="center" wrapText="1"/>
    </xf>
    <xf numFmtId="0" fontId="2" fillId="0" borderId="0" xfId="0" applyFont="1" applyBorder="1" applyAlignment="1" applyProtection="1">
      <alignment horizontal="left"/>
    </xf>
    <xf numFmtId="0" fontId="2" fillId="0" borderId="0" xfId="0" applyFont="1" applyBorder="1" applyAlignment="1" applyProtection="1"/>
    <xf numFmtId="0" fontId="19" fillId="0" borderId="0" xfId="0" applyFont="1" applyAlignment="1" applyProtection="1">
      <alignment vertical="center"/>
    </xf>
    <xf numFmtId="0" fontId="1" fillId="9" borderId="9" xfId="0" applyFont="1" applyFill="1" applyBorder="1" applyAlignment="1" applyProtection="1">
      <alignment vertical="center" wrapText="1"/>
    </xf>
    <xf numFmtId="0" fontId="16" fillId="0" borderId="0" xfId="0" applyFont="1" applyAlignment="1" applyProtection="1">
      <alignment vertical="center"/>
    </xf>
    <xf numFmtId="0" fontId="2" fillId="0" borderId="0" xfId="0" applyFont="1" applyAlignment="1" applyProtection="1">
      <alignment horizontal="left" vertical="center" indent="8"/>
    </xf>
    <xf numFmtId="0" fontId="1" fillId="0" borderId="15" xfId="0" applyFont="1" applyBorder="1" applyAlignment="1" applyProtection="1">
      <alignment vertical="center" wrapText="1"/>
    </xf>
    <xf numFmtId="0" fontId="1" fillId="0" borderId="16" xfId="0" applyFont="1" applyBorder="1" applyAlignment="1" applyProtection="1">
      <alignment vertical="center" wrapText="1"/>
    </xf>
    <xf numFmtId="0" fontId="2" fillId="0" borderId="6" xfId="0" applyFont="1" applyBorder="1" applyAlignment="1" applyProtection="1"/>
    <xf numFmtId="0" fontId="2" fillId="0" borderId="0" xfId="0" applyFont="1" applyAlignment="1" applyProtection="1">
      <alignment vertical="center"/>
    </xf>
    <xf numFmtId="0" fontId="0" fillId="0" borderId="0" xfId="0" applyBorder="1" applyAlignment="1" applyProtection="1">
      <alignment horizontal="left"/>
    </xf>
    <xf numFmtId="164" fontId="2" fillId="0" borderId="40" xfId="0" applyNumberFormat="1" applyFont="1" applyBorder="1" applyAlignment="1" applyProtection="1">
      <alignment horizontal="center" vertical="center"/>
    </xf>
    <xf numFmtId="0" fontId="4" fillId="0" borderId="0" xfId="0" applyFont="1" applyBorder="1" applyProtection="1"/>
    <xf numFmtId="0" fontId="4" fillId="0" borderId="6" xfId="0" applyFont="1" applyBorder="1" applyProtection="1"/>
    <xf numFmtId="0" fontId="0" fillId="0" borderId="40" xfId="0" applyBorder="1" applyProtection="1"/>
    <xf numFmtId="0" fontId="1" fillId="0" borderId="0" xfId="0" applyFont="1" applyAlignment="1" applyProtection="1">
      <alignment vertical="center"/>
    </xf>
    <xf numFmtId="0" fontId="2" fillId="0" borderId="18" xfId="0" applyFont="1" applyFill="1" applyBorder="1" applyAlignment="1" applyProtection="1">
      <alignment vertical="center" wrapText="1"/>
    </xf>
    <xf numFmtId="0" fontId="0" fillId="0" borderId="29" xfId="0" applyBorder="1" applyAlignment="1" applyProtection="1">
      <alignment horizontal="center" vertical="top"/>
    </xf>
    <xf numFmtId="0" fontId="0" fillId="0" borderId="0" xfId="0" applyBorder="1" applyAlignment="1" applyProtection="1">
      <alignment horizontal="center" vertical="top"/>
    </xf>
    <xf numFmtId="0" fontId="13" fillId="0" borderId="9" xfId="0" applyFont="1" applyBorder="1" applyAlignment="1" applyProtection="1">
      <alignment horizontal="left" vertical="center"/>
    </xf>
    <xf numFmtId="0" fontId="9" fillId="0" borderId="0" xfId="0" applyFont="1" applyBorder="1" applyAlignment="1" applyProtection="1">
      <alignment horizontal="left" vertical="top"/>
    </xf>
    <xf numFmtId="0" fontId="0" fillId="0" borderId="0" xfId="0" applyBorder="1" applyAlignment="1" applyProtection="1">
      <alignment vertical="top"/>
    </xf>
    <xf numFmtId="0" fontId="14" fillId="0" borderId="0" xfId="0" applyFont="1" applyAlignment="1" applyProtection="1">
      <alignment vertical="top"/>
    </xf>
    <xf numFmtId="0" fontId="0" fillId="4" borderId="42" xfId="0" applyFill="1" applyBorder="1" applyProtection="1"/>
    <xf numFmtId="0" fontId="10" fillId="0" borderId="0" xfId="0" applyFont="1" applyAlignment="1" applyProtection="1">
      <alignment horizontal="center"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left" vertical="center"/>
    </xf>
    <xf numFmtId="0" fontId="4" fillId="0" borderId="0" xfId="0" applyFont="1" applyProtection="1"/>
    <xf numFmtId="0" fontId="17" fillId="0" borderId="0" xfId="0" applyFont="1" applyAlignment="1" applyProtection="1">
      <alignment horizontal="left" vertical="center"/>
    </xf>
    <xf numFmtId="0" fontId="0" fillId="0" borderId="39" xfId="0" applyBorder="1" applyAlignment="1" applyProtection="1">
      <alignment horizontal="center"/>
    </xf>
    <xf numFmtId="0" fontId="1" fillId="0" borderId="38" xfId="0" applyFont="1" applyBorder="1" applyAlignment="1" applyProtection="1">
      <alignment horizontal="left" vertical="center"/>
    </xf>
    <xf numFmtId="0" fontId="0" fillId="0" borderId="38" xfId="0" applyBorder="1" applyProtection="1"/>
    <xf numFmtId="0" fontId="1" fillId="5" borderId="41" xfId="0" applyFont="1" applyFill="1" applyBorder="1" applyAlignment="1" applyProtection="1">
      <alignment horizontal="center" vertical="center"/>
    </xf>
    <xf numFmtId="0" fontId="1" fillId="4" borderId="41" xfId="0" applyFont="1" applyFill="1" applyBorder="1" applyAlignment="1" applyProtection="1">
      <alignment horizontal="center" vertical="center" wrapText="1"/>
    </xf>
    <xf numFmtId="0" fontId="1" fillId="4" borderId="9" xfId="0" applyFont="1" applyFill="1" applyBorder="1" applyAlignment="1" applyProtection="1">
      <alignment vertical="center" wrapText="1"/>
    </xf>
    <xf numFmtId="0" fontId="0" fillId="0" borderId="0" xfId="0" applyBorder="1" applyAlignment="1" applyProtection="1"/>
    <xf numFmtId="164" fontId="1" fillId="0" borderId="41" xfId="0" applyNumberFormat="1" applyFont="1" applyBorder="1" applyAlignment="1" applyProtection="1">
      <alignment horizontal="center" vertical="center" wrapText="1"/>
    </xf>
    <xf numFmtId="0" fontId="0" fillId="0" borderId="6" xfId="0" applyBorder="1" applyAlignment="1" applyProtection="1"/>
    <xf numFmtId="0" fontId="5" fillId="5" borderId="42" xfId="0" applyFont="1" applyFill="1" applyBorder="1" applyAlignment="1" applyProtection="1">
      <alignment horizontal="center" vertical="center"/>
    </xf>
    <xf numFmtId="165" fontId="2" fillId="8" borderId="54" xfId="0" applyNumberFormat="1" applyFont="1" applyFill="1" applyBorder="1" applyAlignment="1" applyProtection="1">
      <alignment horizontal="left" vertical="top" wrapText="1"/>
    </xf>
    <xf numFmtId="165" fontId="2" fillId="20" borderId="42" xfId="0" applyNumberFormat="1" applyFont="1" applyFill="1" applyBorder="1" applyAlignment="1" applyProtection="1">
      <alignment horizontal="center" vertical="center"/>
    </xf>
    <xf numFmtId="0" fontId="18" fillId="6" borderId="9" xfId="0" applyFont="1" applyFill="1" applyBorder="1" applyAlignment="1" applyProtection="1">
      <alignment vertical="top" wrapText="1"/>
      <protection locked="0"/>
    </xf>
    <xf numFmtId="0" fontId="18" fillId="6" borderId="9" xfId="0" applyFont="1" applyFill="1" applyBorder="1" applyAlignment="1" applyProtection="1">
      <alignment horizontal="left" vertical="top" wrapText="1"/>
      <protection locked="0"/>
    </xf>
    <xf numFmtId="0" fontId="4" fillId="8" borderId="0" xfId="0" applyFont="1" applyFill="1" applyAlignment="1" applyProtection="1">
      <alignment vertical="center"/>
    </xf>
    <xf numFmtId="0" fontId="1" fillId="8" borderId="0" xfId="0" applyFont="1" applyFill="1" applyAlignment="1" applyProtection="1">
      <alignment horizontal="center" vertical="center"/>
    </xf>
    <xf numFmtId="0" fontId="26" fillId="0" borderId="39" xfId="0" applyFont="1" applyBorder="1" applyAlignment="1" applyProtection="1">
      <alignment horizontal="center" vertical="center"/>
    </xf>
    <xf numFmtId="0" fontId="5" fillId="0" borderId="40" xfId="0" applyFont="1" applyBorder="1" applyAlignment="1" applyProtection="1">
      <alignment horizontal="center"/>
    </xf>
    <xf numFmtId="0" fontId="2" fillId="5" borderId="9" xfId="0" applyFont="1" applyFill="1" applyBorder="1" applyAlignment="1" applyProtection="1">
      <alignment horizontal="center" vertical="center" wrapText="1"/>
    </xf>
    <xf numFmtId="0" fontId="2" fillId="5" borderId="9" xfId="0" applyFont="1" applyFill="1" applyBorder="1" applyAlignment="1" applyProtection="1">
      <alignment vertical="center" wrapText="1"/>
    </xf>
    <xf numFmtId="0" fontId="1" fillId="11" borderId="9" xfId="0" applyFont="1" applyFill="1" applyBorder="1" applyAlignment="1" applyProtection="1">
      <alignment horizontal="center" vertical="center" wrapText="1"/>
    </xf>
    <xf numFmtId="0" fontId="1" fillId="11" borderId="9" xfId="0" applyFont="1" applyFill="1" applyBorder="1" applyAlignment="1" applyProtection="1">
      <alignment vertical="center" wrapText="1"/>
    </xf>
    <xf numFmtId="0" fontId="14" fillId="0" borderId="40" xfId="0" applyFont="1" applyBorder="1" applyAlignment="1" applyProtection="1">
      <alignment horizontal="center" vertical="center"/>
    </xf>
    <xf numFmtId="0" fontId="1" fillId="0" borderId="0"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1" fontId="2" fillId="11" borderId="9" xfId="0" applyNumberFormat="1" applyFont="1" applyFill="1" applyBorder="1" applyAlignment="1" applyProtection="1">
      <alignment horizontal="center" vertical="center" wrapText="1"/>
    </xf>
    <xf numFmtId="0" fontId="2" fillId="0" borderId="0" xfId="0" applyFont="1" applyBorder="1" applyAlignment="1" applyProtection="1">
      <alignment horizontal="left" vertical="center" indent="5"/>
    </xf>
    <xf numFmtId="0" fontId="0" fillId="5" borderId="9" xfId="0" applyFill="1" applyBorder="1" applyProtection="1"/>
    <xf numFmtId="165" fontId="2" fillId="6" borderId="9" xfId="0" applyNumberFormat="1" applyFont="1" applyFill="1" applyBorder="1" applyAlignment="1" applyProtection="1">
      <alignment horizontal="center" vertical="center" wrapText="1"/>
      <protection locked="0"/>
    </xf>
    <xf numFmtId="165" fontId="13" fillId="6" borderId="9" xfId="0" applyNumberFormat="1" applyFont="1" applyFill="1" applyBorder="1" applyAlignment="1" applyProtection="1">
      <alignment horizontal="center" vertical="center" wrapText="1"/>
      <protection locked="0"/>
    </xf>
    <xf numFmtId="0" fontId="2" fillId="19" borderId="9" xfId="0" applyFont="1" applyFill="1" applyBorder="1" applyAlignment="1" applyProtection="1">
      <alignment horizontal="center" vertical="top" wrapText="1"/>
      <protection locked="0"/>
    </xf>
    <xf numFmtId="165" fontId="2" fillId="19" borderId="9" xfId="0" applyNumberFormat="1" applyFont="1" applyFill="1" applyBorder="1" applyAlignment="1" applyProtection="1">
      <alignment horizontal="center" vertical="center" wrapText="1"/>
      <protection locked="0"/>
    </xf>
    <xf numFmtId="0" fontId="2" fillId="19" borderId="9" xfId="0" applyFont="1" applyFill="1" applyBorder="1" applyAlignment="1" applyProtection="1">
      <alignment horizontal="center" vertical="center" wrapText="1"/>
      <protection locked="0"/>
    </xf>
    <xf numFmtId="165" fontId="13" fillId="19" borderId="9" xfId="0" applyNumberFormat="1" applyFont="1" applyFill="1" applyBorder="1" applyAlignment="1" applyProtection="1">
      <alignment horizontal="center" vertical="center" wrapText="1"/>
      <protection locked="0"/>
    </xf>
    <xf numFmtId="0" fontId="0" fillId="0" borderId="0" xfId="0" applyFont="1" applyAlignment="1" applyProtection="1">
      <alignment horizontal="center"/>
    </xf>
    <xf numFmtId="0" fontId="7" fillId="0" borderId="0" xfId="0" applyFont="1" applyAlignment="1" applyProtection="1">
      <alignment horizontal="center" vertical="center"/>
    </xf>
    <xf numFmtId="0" fontId="3" fillId="0" borderId="0" xfId="0" applyFont="1" applyAlignment="1" applyProtection="1">
      <alignment vertical="center"/>
    </xf>
    <xf numFmtId="0" fontId="6" fillId="0" borderId="0" xfId="0" applyFont="1" applyProtection="1"/>
    <xf numFmtId="0" fontId="4" fillId="8" borderId="0" xfId="0" applyFont="1" applyFill="1" applyProtection="1"/>
    <xf numFmtId="0" fontId="6" fillId="8" borderId="0" xfId="0" applyFont="1" applyFill="1" applyProtection="1"/>
    <xf numFmtId="0" fontId="6" fillId="8" borderId="0" xfId="0" applyFont="1" applyFill="1" applyAlignment="1" applyProtection="1">
      <alignment horizontal="center"/>
    </xf>
    <xf numFmtId="0" fontId="5" fillId="0" borderId="0" xfId="0" applyFont="1" applyAlignment="1" applyProtection="1">
      <alignment horizontal="center"/>
    </xf>
    <xf numFmtId="0" fontId="5" fillId="0" borderId="39" xfId="0" applyFont="1" applyBorder="1" applyAlignment="1" applyProtection="1">
      <alignment horizontal="center"/>
    </xf>
    <xf numFmtId="0" fontId="5" fillId="0" borderId="38" xfId="0" applyFont="1" applyBorder="1" applyAlignment="1" applyProtection="1">
      <alignment horizontal="center"/>
    </xf>
    <xf numFmtId="0" fontId="5" fillId="0" borderId="37" xfId="0" applyFont="1" applyBorder="1" applyAlignment="1" applyProtection="1">
      <alignment horizontal="center"/>
    </xf>
    <xf numFmtId="0" fontId="1" fillId="0" borderId="40" xfId="0" applyFont="1" applyBorder="1" applyAlignment="1" applyProtection="1">
      <alignment horizontal="center"/>
    </xf>
    <xf numFmtId="0" fontId="1" fillId="0" borderId="0" xfId="0" applyFont="1" applyBorder="1" applyAlignment="1" applyProtection="1">
      <alignment horizontal="left"/>
    </xf>
    <xf numFmtId="0" fontId="5" fillId="0" borderId="0" xfId="0" applyFont="1" applyBorder="1" applyAlignment="1" applyProtection="1">
      <alignment horizontal="center"/>
    </xf>
    <xf numFmtId="0" fontId="5" fillId="0" borderId="6" xfId="0" applyFont="1" applyBorder="1" applyAlignment="1" applyProtection="1">
      <alignment horizontal="center"/>
    </xf>
    <xf numFmtId="0" fontId="0" fillId="0" borderId="40" xfId="0" applyBorder="1" applyAlignment="1" applyProtection="1">
      <alignment horizontal="left" vertical="top" wrapText="1"/>
    </xf>
    <xf numFmtId="0" fontId="0" fillId="0" borderId="40" xfId="0" applyBorder="1" applyAlignment="1" applyProtection="1">
      <alignment horizontal="center" vertical="center" wrapText="1"/>
    </xf>
    <xf numFmtId="0" fontId="0" fillId="0" borderId="40" xfId="0" applyBorder="1" applyAlignment="1" applyProtection="1">
      <alignment vertical="center"/>
    </xf>
    <xf numFmtId="0" fontId="0" fillId="0" borderId="0" xfId="0" applyAlignment="1" applyProtection="1">
      <alignment horizontal="left" vertical="center" wrapText="1"/>
    </xf>
    <xf numFmtId="0" fontId="0" fillId="0" borderId="0" xfId="0" applyAlignment="1" applyProtection="1">
      <alignment horizontal="left"/>
    </xf>
    <xf numFmtId="0" fontId="0" fillId="0" borderId="0" xfId="0" applyFont="1" applyAlignment="1" applyProtection="1">
      <alignment horizontal="center" vertical="center"/>
    </xf>
    <xf numFmtId="0" fontId="0" fillId="0" borderId="0" xfId="0" applyAlignment="1" applyProtection="1">
      <alignment horizontal="left" vertical="center"/>
    </xf>
    <xf numFmtId="0" fontId="5" fillId="0" borderId="0" xfId="0" applyFont="1" applyAlignment="1" applyProtection="1">
      <alignment horizontal="left"/>
    </xf>
    <xf numFmtId="0" fontId="5" fillId="0" borderId="0" xfId="0" applyFont="1" applyProtection="1"/>
    <xf numFmtId="0" fontId="0" fillId="0" borderId="0" xfId="0" applyFont="1" applyAlignment="1" applyProtection="1">
      <alignment horizontal="center" vertical="top"/>
    </xf>
    <xf numFmtId="0" fontId="0" fillId="0" borderId="0" xfId="0" applyFont="1" applyAlignment="1" applyProtection="1">
      <alignment horizontal="left" vertical="top"/>
    </xf>
    <xf numFmtId="0" fontId="0" fillId="0" borderId="0" xfId="0" applyFont="1" applyAlignment="1" applyProtection="1">
      <alignment horizontal="left"/>
    </xf>
    <xf numFmtId="0" fontId="0" fillId="0" borderId="29" xfId="0" applyBorder="1" applyProtection="1"/>
    <xf numFmtId="0" fontId="0" fillId="19" borderId="26" xfId="0" applyFill="1" applyBorder="1" applyProtection="1">
      <protection locked="0"/>
    </xf>
    <xf numFmtId="0" fontId="0" fillId="8" borderId="14" xfId="0" applyFill="1" applyBorder="1" applyProtection="1">
      <protection locked="0"/>
    </xf>
    <xf numFmtId="0" fontId="0" fillId="5" borderId="11" xfId="0" applyFont="1" applyFill="1" applyBorder="1" applyProtection="1"/>
    <xf numFmtId="0" fontId="0" fillId="19" borderId="24" xfId="0" applyFill="1" applyBorder="1" applyProtection="1"/>
    <xf numFmtId="0" fontId="0" fillId="15" borderId="13" xfId="0" applyFill="1" applyBorder="1" applyProtection="1"/>
    <xf numFmtId="0" fontId="0" fillId="8" borderId="9" xfId="0" applyFill="1" applyBorder="1" applyProtection="1"/>
    <xf numFmtId="0" fontId="9" fillId="8" borderId="0" xfId="0" applyFont="1" applyFill="1" applyProtection="1"/>
    <xf numFmtId="0" fontId="4" fillId="0" borderId="0" xfId="0" applyFont="1" applyAlignment="1" applyProtection="1">
      <alignment vertical="center"/>
    </xf>
    <xf numFmtId="0" fontId="6" fillId="0" borderId="14" xfId="0" applyFont="1" applyBorder="1" applyProtection="1"/>
    <xf numFmtId="0" fontId="6" fillId="0" borderId="31" xfId="0" applyFont="1" applyBorder="1" applyProtection="1"/>
    <xf numFmtId="0" fontId="4" fillId="0" borderId="24" xfId="0" applyFont="1" applyBorder="1" applyProtection="1"/>
    <xf numFmtId="0" fontId="4" fillId="0" borderId="26" xfId="0" applyFont="1" applyBorder="1" applyProtection="1"/>
    <xf numFmtId="0" fontId="4" fillId="0" borderId="25" xfId="0" applyFont="1" applyBorder="1" applyProtection="1"/>
    <xf numFmtId="0" fontId="4" fillId="0" borderId="25" xfId="0" applyFont="1" applyFill="1" applyBorder="1" applyProtection="1"/>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4" xfId="0" applyFont="1" applyBorder="1" applyAlignment="1" applyProtection="1">
      <alignment horizontal="center" wrapText="1"/>
    </xf>
    <xf numFmtId="0" fontId="2" fillId="0" borderId="5" xfId="0" applyFont="1" applyBorder="1" applyAlignment="1" applyProtection="1">
      <alignment wrapText="1"/>
    </xf>
    <xf numFmtId="0" fontId="2" fillId="2" borderId="2"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8" xfId="0" applyFont="1" applyFill="1" applyBorder="1" applyAlignment="1" applyProtection="1">
      <alignment horizontal="center" wrapText="1"/>
    </xf>
    <xf numFmtId="0" fontId="2" fillId="2" borderId="8" xfId="0" applyFont="1" applyFill="1" applyBorder="1" applyAlignment="1" applyProtection="1">
      <alignment horizontal="center"/>
    </xf>
    <xf numFmtId="0" fontId="2" fillId="2" borderId="4" xfId="0" applyFont="1" applyFill="1" applyBorder="1" applyAlignment="1" applyProtection="1">
      <alignment horizontal="center" vertical="center" wrapText="1"/>
    </xf>
    <xf numFmtId="0" fontId="2" fillId="2" borderId="4" xfId="0" applyFont="1" applyFill="1" applyBorder="1" applyAlignment="1" applyProtection="1">
      <alignment horizontal="center" wrapText="1"/>
    </xf>
    <xf numFmtId="0" fontId="2" fillId="2" borderId="4" xfId="0" applyFont="1" applyFill="1" applyBorder="1" applyAlignment="1" applyProtection="1">
      <alignment horizontal="center"/>
    </xf>
    <xf numFmtId="1" fontId="13" fillId="7" borderId="5" xfId="0" applyNumberFormat="1" applyFont="1" applyFill="1" applyBorder="1" applyAlignment="1" applyProtection="1">
      <alignment vertical="center" wrapText="1"/>
    </xf>
    <xf numFmtId="0" fontId="2" fillId="0" borderId="19" xfId="0" applyFont="1" applyBorder="1" applyAlignment="1" applyProtection="1">
      <alignment horizontal="center" vertical="center" wrapText="1"/>
    </xf>
    <xf numFmtId="0" fontId="1" fillId="0" borderId="19" xfId="0" applyFont="1" applyBorder="1" applyAlignment="1" applyProtection="1">
      <alignment vertical="center" wrapText="1"/>
    </xf>
    <xf numFmtId="0" fontId="1" fillId="8" borderId="19" xfId="0" applyFont="1" applyFill="1" applyBorder="1" applyAlignment="1" applyProtection="1">
      <alignment vertical="center" wrapText="1"/>
    </xf>
    <xf numFmtId="0" fontId="1" fillId="0" borderId="19" xfId="0" applyFont="1" applyFill="1" applyBorder="1" applyAlignment="1" applyProtection="1">
      <alignment vertical="center" wrapText="1"/>
    </xf>
    <xf numFmtId="1" fontId="1" fillId="8" borderId="19" xfId="0" applyNumberFormat="1" applyFont="1" applyFill="1" applyBorder="1" applyAlignment="1" applyProtection="1">
      <alignment vertical="center" wrapText="1"/>
    </xf>
    <xf numFmtId="165" fontId="1" fillId="8" borderId="19" xfId="0" applyNumberFormat="1" applyFont="1" applyFill="1" applyBorder="1" applyAlignment="1" applyProtection="1">
      <alignment vertical="center" wrapText="1"/>
    </xf>
    <xf numFmtId="0" fontId="2" fillId="0" borderId="16" xfId="0" applyFont="1" applyBorder="1" applyAlignment="1" applyProtection="1">
      <alignment horizontal="center" vertical="center" wrapText="1"/>
    </xf>
    <xf numFmtId="0" fontId="1" fillId="0" borderId="16" xfId="0" applyFont="1" applyFill="1" applyBorder="1" applyAlignment="1" applyProtection="1">
      <alignment vertical="center" wrapText="1"/>
    </xf>
    <xf numFmtId="0" fontId="6" fillId="0" borderId="0" xfId="0" applyFont="1" applyAlignment="1" applyProtection="1">
      <alignment horizontal="center"/>
    </xf>
    <xf numFmtId="0" fontId="2" fillId="0" borderId="5" xfId="0" applyFont="1" applyBorder="1" applyAlignment="1" applyProtection="1">
      <alignment vertical="top" wrapText="1"/>
    </xf>
    <xf numFmtId="0" fontId="2" fillId="3" borderId="6" xfId="0" applyFont="1" applyFill="1" applyBorder="1" applyAlignment="1" applyProtection="1">
      <alignment horizontal="center" vertical="center" wrapText="1"/>
    </xf>
    <xf numFmtId="1" fontId="2" fillId="7" borderId="28" xfId="0" applyNumberFormat="1" applyFont="1" applyFill="1" applyBorder="1" applyAlignment="1" applyProtection="1">
      <alignment vertical="center" wrapText="1"/>
    </xf>
    <xf numFmtId="1" fontId="2" fillId="7" borderId="5" xfId="0" applyNumberFormat="1" applyFont="1" applyFill="1" applyBorder="1" applyAlignment="1" applyProtection="1">
      <alignment vertical="center" wrapText="1"/>
    </xf>
    <xf numFmtId="1" fontId="1" fillId="7" borderId="19" xfId="0" applyNumberFormat="1" applyFont="1" applyFill="1" applyBorder="1" applyAlignment="1" applyProtection="1">
      <alignment vertical="center" wrapText="1"/>
    </xf>
    <xf numFmtId="0" fontId="1" fillId="7" borderId="19" xfId="0" applyFont="1" applyFill="1" applyBorder="1" applyAlignment="1" applyProtection="1">
      <alignment vertical="center" wrapText="1"/>
    </xf>
    <xf numFmtId="0" fontId="2" fillId="7" borderId="5" xfId="0" applyFont="1" applyFill="1" applyBorder="1" applyAlignment="1" applyProtection="1">
      <alignment vertical="center" wrapText="1"/>
    </xf>
    <xf numFmtId="0" fontId="4" fillId="11" borderId="9" xfId="0" applyFont="1" applyFill="1" applyBorder="1" applyAlignment="1" applyProtection="1">
      <alignment horizontal="left"/>
    </xf>
    <xf numFmtId="0" fontId="4" fillId="11" borderId="9" xfId="0" applyFont="1" applyFill="1" applyBorder="1" applyProtection="1"/>
    <xf numFmtId="0" fontId="4" fillId="11" borderId="9" xfId="0" applyFont="1" applyFill="1" applyBorder="1" applyAlignment="1" applyProtection="1">
      <alignment horizontal="center"/>
    </xf>
    <xf numFmtId="0" fontId="0" fillId="11" borderId="9" xfId="0" applyFill="1" applyBorder="1" applyProtection="1"/>
    <xf numFmtId="0" fontId="0" fillId="11" borderId="9" xfId="0" applyFill="1" applyBorder="1" applyAlignment="1" applyProtection="1">
      <alignment horizontal="center"/>
    </xf>
    <xf numFmtId="0" fontId="5" fillId="5" borderId="9" xfId="0" applyFont="1" applyFill="1" applyBorder="1" applyAlignment="1" applyProtection="1">
      <alignment horizontal="center"/>
    </xf>
    <xf numFmtId="2" fontId="2" fillId="0" borderId="9" xfId="0" quotePrefix="1" applyNumberFormat="1" applyFont="1" applyFill="1" applyBorder="1" applyAlignment="1" applyProtection="1">
      <alignment horizontal="center" vertical="center" wrapText="1"/>
    </xf>
    <xf numFmtId="2" fontId="2" fillId="7" borderId="9" xfId="0" applyNumberFormat="1" applyFont="1" applyFill="1" applyBorder="1" applyAlignment="1" applyProtection="1">
      <alignment horizontal="center" vertical="center" wrapText="1"/>
    </xf>
    <xf numFmtId="2" fontId="2" fillId="7" borderId="9" xfId="0" quotePrefix="1" applyNumberFormat="1" applyFont="1" applyFill="1" applyBorder="1" applyAlignment="1" applyProtection="1">
      <alignment horizontal="center" vertical="center" wrapText="1"/>
    </xf>
    <xf numFmtId="0" fontId="2" fillId="11" borderId="9" xfId="0" quotePrefix="1" applyFont="1" applyFill="1" applyBorder="1" applyAlignment="1" applyProtection="1">
      <alignment horizontal="center" vertical="center" wrapText="1"/>
    </xf>
    <xf numFmtId="165" fontId="2" fillId="7" borderId="9" xfId="0" quotePrefix="1" applyNumberFormat="1" applyFont="1" applyFill="1" applyBorder="1" applyAlignment="1" applyProtection="1">
      <alignment horizontal="center" vertical="center" wrapText="1"/>
    </xf>
    <xf numFmtId="0" fontId="1" fillId="5" borderId="9" xfId="0" applyFont="1" applyFill="1" applyBorder="1" applyAlignment="1" applyProtection="1">
      <alignment vertical="center" wrapText="1"/>
    </xf>
    <xf numFmtId="0" fontId="0" fillId="5" borderId="9" xfId="0" applyFill="1" applyBorder="1" applyAlignment="1" applyProtection="1">
      <alignment horizontal="center"/>
    </xf>
    <xf numFmtId="165" fontId="2" fillId="0" borderId="9" xfId="0" quotePrefix="1" applyNumberFormat="1" applyFont="1" applyFill="1" applyBorder="1" applyAlignment="1" applyProtection="1">
      <alignment horizontal="center" vertical="center" wrapText="1"/>
    </xf>
    <xf numFmtId="0" fontId="0" fillId="0" borderId="0" xfId="0" applyBorder="1" applyAlignment="1" applyProtection="1">
      <alignment horizontal="center" vertical="top" wrapText="1"/>
    </xf>
    <xf numFmtId="165" fontId="0" fillId="0" borderId="9" xfId="0" quotePrefix="1" applyNumberFormat="1" applyFill="1" applyBorder="1" applyAlignment="1" applyProtection="1">
      <alignment horizontal="center" vertical="center"/>
    </xf>
    <xf numFmtId="165" fontId="0" fillId="7" borderId="9" xfId="0" quotePrefix="1" applyNumberFormat="1" applyFill="1" applyBorder="1" applyAlignment="1" applyProtection="1">
      <alignment horizontal="center" vertical="center"/>
    </xf>
    <xf numFmtId="0" fontId="2" fillId="0" borderId="9" xfId="0" applyFont="1" applyFill="1" applyBorder="1" applyAlignment="1" applyProtection="1">
      <alignment horizontal="center" vertical="top" wrapText="1"/>
    </xf>
    <xf numFmtId="0" fontId="2" fillId="7" borderId="9" xfId="0" applyFont="1" applyFill="1" applyBorder="1" applyAlignment="1" applyProtection="1">
      <alignment horizontal="center" vertical="center" wrapText="1"/>
    </xf>
    <xf numFmtId="0" fontId="2" fillId="0" borderId="9" xfId="0" quotePrefix="1" applyFont="1" applyFill="1" applyBorder="1" applyAlignment="1" applyProtection="1">
      <alignment horizontal="center" vertical="center" wrapText="1"/>
    </xf>
    <xf numFmtId="165" fontId="2" fillId="8" borderId="9" xfId="0" applyNumberFormat="1" applyFont="1" applyFill="1" applyBorder="1" applyAlignment="1" applyProtection="1">
      <alignment horizontal="center" vertical="center" wrapText="1"/>
    </xf>
    <xf numFmtId="165" fontId="2" fillId="21" borderId="9" xfId="0" applyNumberFormat="1" applyFont="1" applyFill="1" applyBorder="1" applyAlignment="1" applyProtection="1">
      <alignment horizontal="center" vertical="center" wrapText="1"/>
    </xf>
    <xf numFmtId="0" fontId="13" fillId="0" borderId="26" xfId="0" applyFont="1" applyBorder="1" applyAlignment="1" applyProtection="1">
      <alignment vertical="center" wrapText="1"/>
    </xf>
    <xf numFmtId="0" fontId="13" fillId="0" borderId="9" xfId="0" applyFont="1" applyFill="1" applyBorder="1" applyAlignment="1" applyProtection="1">
      <alignment horizontal="center" vertical="center" wrapText="1"/>
    </xf>
    <xf numFmtId="0" fontId="13" fillId="0" borderId="42" xfId="0" applyFont="1" applyBorder="1" applyAlignment="1" applyProtection="1">
      <alignment vertical="center" wrapText="1"/>
    </xf>
    <xf numFmtId="1" fontId="0" fillId="11" borderId="9" xfId="0" applyNumberFormat="1" applyFill="1" applyBorder="1" applyAlignment="1" applyProtection="1">
      <alignment horizontal="center" vertical="center"/>
    </xf>
    <xf numFmtId="165" fontId="2" fillId="6" borderId="9" xfId="0" applyNumberFormat="1" applyFont="1" applyFill="1" applyBorder="1" applyAlignment="1" applyProtection="1">
      <alignment horizontal="right" vertical="center" wrapText="1"/>
      <protection locked="0"/>
    </xf>
    <xf numFmtId="1" fontId="0" fillId="19" borderId="9" xfId="0" applyNumberFormat="1" applyFill="1" applyBorder="1" applyAlignment="1" applyProtection="1">
      <alignment horizontal="center" vertical="center"/>
      <protection locked="0"/>
    </xf>
    <xf numFmtId="165" fontId="0" fillId="7" borderId="9" xfId="0" applyNumberFormat="1"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2" fontId="0" fillId="6" borderId="9" xfId="0" applyNumberFormat="1" applyFill="1" applyBorder="1" applyAlignment="1" applyProtection="1">
      <alignment horizontal="center" vertical="center"/>
      <protection locked="0"/>
    </xf>
    <xf numFmtId="165" fontId="0" fillId="7" borderId="0" xfId="0" applyNumberFormat="1" applyFill="1" applyAlignment="1" applyProtection="1">
      <alignment vertical="center"/>
      <protection locked="0"/>
    </xf>
    <xf numFmtId="2" fontId="14" fillId="0" borderId="27" xfId="0" applyNumberFormat="1" applyFont="1" applyFill="1" applyBorder="1" applyAlignment="1" applyProtection="1">
      <alignment horizontal="center" vertical="center"/>
    </xf>
    <xf numFmtId="0" fontId="0" fillId="0" borderId="27" xfId="0" applyFill="1" applyBorder="1" applyProtection="1"/>
    <xf numFmtId="2" fontId="0" fillId="0" borderId="27" xfId="0" applyNumberFormat="1" applyFill="1" applyBorder="1" applyAlignment="1" applyProtection="1">
      <alignment horizontal="center" vertical="center"/>
    </xf>
    <xf numFmtId="0" fontId="67" fillId="5" borderId="24" xfId="0" applyFont="1" applyFill="1" applyBorder="1" applyAlignment="1" applyProtection="1">
      <alignment horizontal="center" vertical="center"/>
    </xf>
    <xf numFmtId="0" fontId="65" fillId="0" borderId="27" xfId="0" applyFont="1" applyFill="1" applyBorder="1" applyProtection="1"/>
    <xf numFmtId="0" fontId="34" fillId="5" borderId="9" xfId="0" applyFont="1" applyFill="1" applyBorder="1" applyAlignment="1" applyProtection="1">
      <alignment horizontal="center" vertical="center"/>
    </xf>
    <xf numFmtId="0" fontId="0" fillId="8" borderId="0" xfId="0" applyFill="1" applyBorder="1" applyProtection="1"/>
    <xf numFmtId="0" fontId="0" fillId="8" borderId="6" xfId="0" applyFill="1" applyBorder="1" applyProtection="1"/>
    <xf numFmtId="0" fontId="2" fillId="0" borderId="0" xfId="0" applyFont="1" applyBorder="1" applyAlignment="1" applyProtection="1">
      <alignment vertical="top" wrapText="1"/>
    </xf>
    <xf numFmtId="0" fontId="2" fillId="0" borderId="6" xfId="0" applyFont="1" applyBorder="1" applyAlignment="1" applyProtection="1">
      <alignment vertical="top" wrapText="1"/>
    </xf>
    <xf numFmtId="0" fontId="2" fillId="0" borderId="0" xfId="0" applyFont="1" applyBorder="1" applyAlignment="1" applyProtection="1">
      <alignment horizontal="left" vertical="center"/>
    </xf>
    <xf numFmtId="0" fontId="41" fillId="11" borderId="9" xfId="0" applyFont="1" applyFill="1" applyBorder="1" applyAlignment="1" applyProtection="1">
      <alignment vertical="center" wrapText="1"/>
    </xf>
    <xf numFmtId="0" fontId="41" fillId="0" borderId="9" xfId="0" applyFont="1" applyBorder="1" applyAlignment="1" applyProtection="1">
      <alignment horizontal="justify" vertical="center" wrapText="1"/>
    </xf>
    <xf numFmtId="0" fontId="9" fillId="0" borderId="0" xfId="0" applyFont="1" applyFill="1" applyProtection="1"/>
    <xf numFmtId="0" fontId="8" fillId="0" borderId="0" xfId="0" applyFont="1" applyFill="1" applyProtection="1"/>
    <xf numFmtId="2" fontId="0" fillId="0" borderId="0" xfId="0" applyNumberFormat="1" applyProtection="1"/>
    <xf numFmtId="0" fontId="40" fillId="13" borderId="9" xfId="0" applyFont="1" applyFill="1" applyBorder="1" applyAlignment="1" applyProtection="1">
      <alignment horizontal="center" vertical="center" wrapText="1"/>
    </xf>
    <xf numFmtId="0" fontId="44" fillId="14" borderId="9" xfId="0" applyFont="1" applyFill="1" applyBorder="1" applyAlignment="1" applyProtection="1">
      <alignment horizontal="center" vertical="center" wrapText="1"/>
    </xf>
    <xf numFmtId="0" fontId="50" fillId="0" borderId="18" xfId="0" applyFont="1" applyFill="1" applyBorder="1" applyAlignment="1" applyProtection="1">
      <alignment horizontal="left" vertical="center"/>
    </xf>
    <xf numFmtId="0" fontId="8" fillId="0" borderId="0" xfId="0" applyFont="1" applyFill="1" applyAlignment="1" applyProtection="1">
      <alignment horizontal="left"/>
    </xf>
    <xf numFmtId="0" fontId="44" fillId="0" borderId="9" xfId="0" applyFont="1" applyBorder="1" applyAlignment="1" applyProtection="1">
      <alignment horizontal="center" vertical="center"/>
    </xf>
    <xf numFmtId="0" fontId="40" fillId="13" borderId="9" xfId="0" applyFont="1" applyFill="1" applyBorder="1" applyAlignment="1" applyProtection="1">
      <alignment vertical="center" wrapText="1"/>
    </xf>
    <xf numFmtId="0" fontId="0" fillId="23" borderId="9" xfId="0" applyFont="1" applyFill="1" applyBorder="1" applyAlignment="1" applyProtection="1">
      <alignment horizontal="center" vertical="center"/>
      <protection locked="0"/>
    </xf>
    <xf numFmtId="2" fontId="0" fillId="23" borderId="9" xfId="0" applyNumberFormat="1" applyFill="1" applyBorder="1" applyAlignment="1" applyProtection="1">
      <alignment horizontal="center" vertical="center"/>
      <protection locked="0"/>
    </xf>
    <xf numFmtId="2" fontId="0" fillId="23" borderId="24" xfId="0" applyNumberFormat="1" applyFill="1" applyBorder="1" applyAlignment="1" applyProtection="1">
      <alignment horizontal="center" vertical="center"/>
      <protection locked="0"/>
    </xf>
    <xf numFmtId="0" fontId="0" fillId="0" borderId="0" xfId="0" applyFill="1" applyBorder="1" applyAlignment="1" applyProtection="1">
      <alignment horizontal="center" wrapText="1"/>
    </xf>
    <xf numFmtId="0" fontId="0" fillId="5" borderId="9" xfId="0" applyFill="1" applyBorder="1" applyAlignment="1" applyProtection="1">
      <alignment wrapText="1"/>
    </xf>
    <xf numFmtId="0" fontId="5" fillId="5" borderId="9" xfId="0" applyFont="1" applyFill="1" applyBorder="1" applyAlignment="1" applyProtection="1">
      <alignment wrapText="1"/>
    </xf>
    <xf numFmtId="0" fontId="0" fillId="11" borderId="9" xfId="0" applyFill="1" applyBorder="1" applyAlignment="1" applyProtection="1">
      <alignment horizontal="left" vertical="center"/>
    </xf>
    <xf numFmtId="167" fontId="0" fillId="11" borderId="9" xfId="0" applyNumberFormat="1" applyFill="1" applyBorder="1" applyAlignment="1" applyProtection="1">
      <alignment horizontal="left" vertical="center"/>
    </xf>
    <xf numFmtId="165" fontId="0" fillId="21" borderId="9" xfId="0" applyNumberFormat="1" applyFill="1" applyBorder="1" applyAlignment="1" applyProtection="1">
      <alignment horizontal="center" vertical="center"/>
    </xf>
    <xf numFmtId="0" fontId="2" fillId="0" borderId="9" xfId="0" quotePrefix="1" applyFont="1" applyFill="1" applyBorder="1" applyAlignment="1" applyProtection="1">
      <alignment horizontal="center" vertical="top" wrapText="1"/>
      <protection locked="0"/>
    </xf>
    <xf numFmtId="0" fontId="11" fillId="0" borderId="9" xfId="0" applyFont="1" applyFill="1" applyBorder="1" applyAlignment="1" applyProtection="1">
      <alignment horizontal="center" vertical="center" wrapText="1"/>
      <protection locked="0"/>
    </xf>
    <xf numFmtId="165" fontId="14" fillId="0" borderId="9"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vertical="center"/>
    </xf>
    <xf numFmtId="0" fontId="20" fillId="0" borderId="0" xfId="0" applyFont="1" applyFill="1" applyBorder="1" applyProtection="1"/>
    <xf numFmtId="0" fontId="22" fillId="0" borderId="0" xfId="0" applyFont="1" applyFill="1" applyBorder="1" applyAlignment="1" applyProtection="1">
      <alignment horizontal="left" vertical="center" indent="5"/>
    </xf>
    <xf numFmtId="0" fontId="0" fillId="0" borderId="29" xfId="0" applyBorder="1" applyAlignment="1" applyProtection="1">
      <alignment horizontal="center"/>
    </xf>
    <xf numFmtId="165" fontId="2" fillId="6" borderId="9" xfId="0" applyNumberFormat="1" applyFont="1" applyFill="1" applyBorder="1" applyAlignment="1" applyProtection="1">
      <alignment vertical="center" wrapText="1"/>
      <protection locked="0"/>
    </xf>
    <xf numFmtId="1" fontId="2" fillId="6" borderId="9" xfId="0" applyNumberFormat="1" applyFont="1" applyFill="1" applyBorder="1" applyAlignment="1" applyProtection="1">
      <alignment horizontal="center" vertical="center" wrapText="1"/>
      <protection locked="0"/>
    </xf>
    <xf numFmtId="1" fontId="13" fillId="6" borderId="9" xfId="0" applyNumberFormat="1" applyFont="1" applyFill="1" applyBorder="1" applyAlignment="1" applyProtection="1">
      <alignment horizontal="center" vertical="center" wrapText="1"/>
      <protection locked="0"/>
    </xf>
    <xf numFmtId="0" fontId="0" fillId="0" borderId="16" xfId="0" applyFill="1" applyBorder="1" applyAlignment="1" applyProtection="1">
      <alignment horizontal="center" vertical="center"/>
      <protection locked="0"/>
    </xf>
    <xf numFmtId="0" fontId="0" fillId="0" borderId="16" xfId="0" applyFill="1" applyBorder="1" applyAlignment="1" applyProtection="1">
      <alignment vertical="center" wrapText="1"/>
      <protection locked="0"/>
    </xf>
    <xf numFmtId="0" fontId="0" fillId="0" borderId="9" xfId="0" applyFill="1" applyBorder="1" applyAlignment="1" applyProtection="1">
      <alignment vertical="top" wrapText="1"/>
      <protection locked="0"/>
    </xf>
    <xf numFmtId="165" fontId="0" fillId="0" borderId="16" xfId="0" applyNumberForma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8" fillId="11" borderId="5" xfId="0" applyFont="1" applyFill="1" applyBorder="1" applyAlignment="1" applyProtection="1">
      <alignment vertical="center" wrapText="1"/>
      <protection locked="0"/>
    </xf>
    <xf numFmtId="0" fontId="18" fillId="11" borderId="28" xfId="0" applyFont="1" applyFill="1" applyBorder="1" applyAlignment="1" applyProtection="1">
      <alignment vertical="center" wrapText="1"/>
      <protection locked="0"/>
    </xf>
    <xf numFmtId="0" fontId="13" fillId="11" borderId="28" xfId="0" applyFont="1" applyFill="1" applyBorder="1" applyAlignment="1" applyProtection="1">
      <alignment vertical="center" wrapText="1"/>
      <protection locked="0"/>
    </xf>
    <xf numFmtId="165" fontId="2" fillId="7" borderId="9" xfId="0" applyNumberFormat="1" applyFont="1" applyFill="1" applyBorder="1" applyAlignment="1" applyProtection="1">
      <alignment vertical="center" wrapText="1"/>
      <protection locked="0"/>
    </xf>
    <xf numFmtId="0" fontId="0" fillId="7" borderId="9" xfId="0" applyFill="1" applyBorder="1" applyProtection="1">
      <protection locked="0"/>
    </xf>
    <xf numFmtId="0" fontId="14" fillId="0" borderId="9" xfId="0" applyFont="1" applyFill="1" applyBorder="1" applyAlignment="1" applyProtection="1">
      <protection locked="0"/>
    </xf>
    <xf numFmtId="0" fontId="14" fillId="0" borderId="9" xfId="0" applyFont="1" applyFill="1" applyBorder="1" applyAlignment="1" applyProtection="1">
      <alignment vertical="center"/>
      <protection locked="0"/>
    </xf>
    <xf numFmtId="0" fontId="14" fillId="0" borderId="0" xfId="0" applyFont="1" applyBorder="1" applyProtection="1">
      <protection locked="0"/>
    </xf>
    <xf numFmtId="0" fontId="14" fillId="0" borderId="9" xfId="0" applyFont="1" applyFill="1" applyBorder="1" applyAlignment="1" applyProtection="1">
      <alignment vertical="center" wrapText="1"/>
      <protection locked="0"/>
    </xf>
    <xf numFmtId="167" fontId="2" fillId="8" borderId="24" xfId="0" applyNumberFormat="1" applyFont="1" applyFill="1" applyBorder="1" applyAlignment="1" applyProtection="1">
      <alignment horizontal="center" vertical="center"/>
    </xf>
    <xf numFmtId="165" fontId="41" fillId="8" borderId="9" xfId="0" applyNumberFormat="1" applyFont="1" applyFill="1" applyBorder="1" applyAlignment="1" applyProtection="1">
      <alignment horizontal="center" vertical="center" wrapText="1"/>
    </xf>
    <xf numFmtId="167" fontId="41" fillId="8" borderId="9" xfId="0" applyNumberFormat="1" applyFont="1" applyFill="1" applyBorder="1" applyAlignment="1" applyProtection="1">
      <alignment horizontal="center" vertical="center" wrapText="1"/>
    </xf>
    <xf numFmtId="0" fontId="54" fillId="0" borderId="0" xfId="0" applyFont="1" applyFill="1" applyProtection="1">
      <protection locked="0"/>
    </xf>
    <xf numFmtId="0" fontId="4" fillId="0" borderId="0" xfId="0" applyFont="1" applyFill="1" applyProtection="1">
      <protection locked="0"/>
    </xf>
    <xf numFmtId="0" fontId="0" fillId="5" borderId="20" xfId="0" applyFill="1" applyBorder="1" applyProtection="1">
      <protection locked="0"/>
    </xf>
    <xf numFmtId="0" fontId="37" fillId="0" borderId="0" xfId="0" applyFont="1" applyProtection="1">
      <protection locked="0"/>
    </xf>
    <xf numFmtId="0" fontId="35" fillId="0" borderId="0" xfId="0" applyFont="1" applyProtection="1">
      <protection locked="0"/>
    </xf>
    <xf numFmtId="0" fontId="0" fillId="19" borderId="22" xfId="0" applyFill="1" applyBorder="1" applyProtection="1">
      <protection locked="0"/>
    </xf>
    <xf numFmtId="0" fontId="38" fillId="0" borderId="0" xfId="0" applyFont="1" applyProtection="1">
      <protection locked="0"/>
    </xf>
    <xf numFmtId="0" fontId="0" fillId="20" borderId="22" xfId="0" applyFill="1" applyBorder="1" applyProtection="1">
      <protection locked="0"/>
    </xf>
    <xf numFmtId="0" fontId="0" fillId="0" borderId="0" xfId="0" applyFill="1" applyBorder="1" applyProtection="1">
      <protection locked="0"/>
    </xf>
    <xf numFmtId="0" fontId="0" fillId="8" borderId="35" xfId="0" applyFill="1" applyBorder="1" applyProtection="1">
      <protection locked="0"/>
    </xf>
    <xf numFmtId="0" fontId="0" fillId="0" borderId="15" xfId="0" applyBorder="1" applyProtection="1">
      <protection locked="0"/>
    </xf>
    <xf numFmtId="0" fontId="35" fillId="0" borderId="11" xfId="0" applyFont="1" applyBorder="1" applyProtection="1">
      <protection locked="0"/>
    </xf>
    <xf numFmtId="0" fontId="35" fillId="0" borderId="12" xfId="0" applyFont="1" applyBorder="1" applyAlignment="1" applyProtection="1">
      <alignment horizontal="left"/>
      <protection locked="0"/>
    </xf>
    <xf numFmtId="0" fontId="35" fillId="0" borderId="0" xfId="0" applyFont="1" applyBorder="1" applyAlignment="1" applyProtection="1">
      <alignment horizontal="left"/>
      <protection locked="0"/>
    </xf>
    <xf numFmtId="0" fontId="35" fillId="0" borderId="11" xfId="0" applyFont="1" applyBorder="1" applyAlignment="1" applyProtection="1">
      <alignment horizontal="left"/>
      <protection locked="0"/>
    </xf>
    <xf numFmtId="0" fontId="0" fillId="0" borderId="39" xfId="0" applyBorder="1" applyProtection="1">
      <protection locked="0"/>
    </xf>
    <xf numFmtId="0" fontId="35" fillId="0" borderId="18" xfId="0" applyFont="1" applyBorder="1" applyAlignment="1" applyProtection="1">
      <alignment horizontal="left"/>
      <protection locked="0"/>
    </xf>
    <xf numFmtId="0" fontId="35" fillId="0" borderId="27" xfId="0" applyFont="1" applyBorder="1" applyProtection="1">
      <protection locked="0"/>
    </xf>
    <xf numFmtId="0" fontId="35" fillId="0" borderId="17" xfId="0" applyFont="1" applyBorder="1" applyAlignment="1" applyProtection="1">
      <alignment horizontal="left"/>
      <protection locked="0"/>
    </xf>
    <xf numFmtId="0" fontId="35" fillId="0" borderId="27" xfId="0" applyFont="1" applyBorder="1" applyAlignment="1" applyProtection="1">
      <alignment horizontal="left"/>
      <protection locked="0"/>
    </xf>
    <xf numFmtId="0" fontId="0" fillId="0" borderId="40" xfId="0" applyBorder="1" applyProtection="1">
      <protection locked="0"/>
    </xf>
    <xf numFmtId="0" fontId="0" fillId="0" borderId="11" xfId="0" applyBorder="1" applyProtection="1">
      <protection locked="0"/>
    </xf>
    <xf numFmtId="0" fontId="0" fillId="0" borderId="36" xfId="0" applyBorder="1" applyProtection="1">
      <protection locked="0"/>
    </xf>
    <xf numFmtId="0" fontId="0" fillId="0" borderId="12" xfId="0" applyBorder="1" applyProtection="1">
      <protection locked="0"/>
    </xf>
    <xf numFmtId="0" fontId="0" fillId="0" borderId="6" xfId="0" applyBorder="1" applyProtection="1">
      <protection locked="0"/>
    </xf>
    <xf numFmtId="0" fontId="0" fillId="0" borderId="16" xfId="0" applyBorder="1" applyProtection="1">
      <protection locked="0"/>
    </xf>
    <xf numFmtId="0" fontId="35" fillId="0" borderId="13" xfId="0" applyFont="1" applyBorder="1" applyProtection="1">
      <protection locked="0"/>
    </xf>
    <xf numFmtId="0" fontId="35" fillId="0" borderId="14" xfId="0" applyFont="1" applyBorder="1" applyAlignment="1" applyProtection="1">
      <alignment horizontal="left"/>
      <protection locked="0"/>
    </xf>
    <xf numFmtId="0" fontId="35" fillId="0" borderId="13" xfId="0" applyFont="1" applyBorder="1" applyAlignment="1" applyProtection="1">
      <alignment horizontal="left"/>
      <protection locked="0"/>
    </xf>
    <xf numFmtId="0" fontId="0" fillId="0" borderId="27" xfId="0" applyBorder="1" applyProtection="1">
      <protection locked="0"/>
    </xf>
    <xf numFmtId="0" fontId="0" fillId="0" borderId="17" xfId="0" applyBorder="1" applyProtection="1">
      <protection locked="0"/>
    </xf>
    <xf numFmtId="0" fontId="35" fillId="0" borderId="0" xfId="0" applyFont="1" applyBorder="1" applyAlignment="1" applyProtection="1">
      <alignment horizontal="center"/>
      <protection locked="0"/>
    </xf>
    <xf numFmtId="0" fontId="35" fillId="0" borderId="0" xfId="0" applyFont="1" applyBorder="1" applyProtection="1">
      <protection locked="0"/>
    </xf>
    <xf numFmtId="0" fontId="36" fillId="0" borderId="12" xfId="0" applyFont="1" applyBorder="1" applyProtection="1">
      <protection locked="0"/>
    </xf>
    <xf numFmtId="0" fontId="36" fillId="0" borderId="0" xfId="0" applyFont="1" applyBorder="1" applyProtection="1">
      <protection locked="0"/>
    </xf>
    <xf numFmtId="0" fontId="0" fillId="0" borderId="0" xfId="0" applyBorder="1" applyAlignment="1" applyProtection="1">
      <alignment horizontal="left"/>
      <protection locked="0"/>
    </xf>
    <xf numFmtId="2" fontId="0" fillId="6" borderId="13" xfId="0" applyNumberFormat="1" applyFill="1" applyBorder="1" applyAlignment="1" applyProtection="1">
      <alignment horizontal="center" vertical="center"/>
      <protection locked="0"/>
    </xf>
    <xf numFmtId="0" fontId="36" fillId="0" borderId="14" xfId="0" applyFont="1" applyBorder="1" applyProtection="1">
      <protection locked="0"/>
    </xf>
    <xf numFmtId="0" fontId="0" fillId="0" borderId="13" xfId="0" applyBorder="1" applyProtection="1">
      <protection locked="0"/>
    </xf>
    <xf numFmtId="0" fontId="0" fillId="0" borderId="31" xfId="0" applyBorder="1" applyProtection="1">
      <protection locked="0"/>
    </xf>
    <xf numFmtId="0" fontId="0" fillId="0" borderId="14" xfId="0" applyBorder="1" applyProtection="1">
      <protection locked="0"/>
    </xf>
    <xf numFmtId="0" fontId="0" fillId="0" borderId="0" xfId="0" applyAlignment="1" applyProtection="1">
      <alignment horizontal="center" vertical="center"/>
      <protection locked="0"/>
    </xf>
    <xf numFmtId="2" fontId="0" fillId="6" borderId="9" xfId="0" applyNumberFormat="1" applyFill="1" applyBorder="1" applyProtection="1">
      <protection locked="0"/>
    </xf>
    <xf numFmtId="0" fontId="0" fillId="6" borderId="9" xfId="0" applyFill="1" applyBorder="1" applyAlignment="1" applyProtection="1">
      <alignment horizontal="center"/>
      <protection locked="0"/>
    </xf>
    <xf numFmtId="0" fontId="0" fillId="0" borderId="0" xfId="0" applyBorder="1" applyAlignment="1" applyProtection="1">
      <alignment horizontal="center" vertical="center"/>
      <protection locked="0"/>
    </xf>
    <xf numFmtId="0" fontId="0" fillId="6" borderId="0" xfId="0" applyFill="1" applyBorder="1" applyProtection="1">
      <protection locked="0"/>
    </xf>
    <xf numFmtId="0" fontId="0" fillId="6" borderId="13" xfId="0" applyFill="1" applyBorder="1" applyAlignment="1" applyProtection="1">
      <alignment horizontal="center" vertical="center"/>
      <protection locked="0"/>
    </xf>
    <xf numFmtId="0" fontId="0" fillId="6" borderId="13" xfId="0" applyFill="1" applyBorder="1" applyProtection="1">
      <protection locked="0"/>
    </xf>
    <xf numFmtId="165" fontId="0" fillId="12" borderId="9" xfId="0" applyNumberFormat="1" applyFill="1" applyBorder="1" applyAlignment="1" applyProtection="1">
      <alignment horizontal="center"/>
      <protection locked="0"/>
    </xf>
    <xf numFmtId="0" fontId="36" fillId="0" borderId="15" xfId="0" applyFont="1" applyBorder="1" applyProtection="1">
      <protection locked="0"/>
    </xf>
    <xf numFmtId="2" fontId="0" fillId="12" borderId="9" xfId="0" applyNumberFormat="1" applyFill="1" applyBorder="1" applyProtection="1">
      <protection locked="0"/>
    </xf>
    <xf numFmtId="0" fontId="36" fillId="0" borderId="16" xfId="0" applyFont="1" applyBorder="1" applyProtection="1">
      <protection locked="0"/>
    </xf>
    <xf numFmtId="2" fontId="0" fillId="12" borderId="9" xfId="0" applyNumberFormat="1" applyFill="1" applyBorder="1" applyAlignment="1" applyProtection="1">
      <alignment horizontal="center"/>
      <protection locked="0"/>
    </xf>
    <xf numFmtId="2" fontId="0" fillId="6" borderId="0" xfId="0" applyNumberFormat="1" applyFill="1" applyBorder="1" applyProtection="1">
      <protection locked="0"/>
    </xf>
    <xf numFmtId="0" fontId="0" fillId="12" borderId="9" xfId="0" applyFill="1" applyBorder="1" applyAlignment="1" applyProtection="1">
      <alignment horizontal="center"/>
      <protection locked="0"/>
    </xf>
    <xf numFmtId="0" fontId="35" fillId="0" borderId="17" xfId="0" applyFont="1" applyBorder="1" applyProtection="1">
      <protection locked="0"/>
    </xf>
    <xf numFmtId="0" fontId="0" fillId="0" borderId="29" xfId="0" applyBorder="1" applyProtection="1">
      <protection locked="0"/>
    </xf>
    <xf numFmtId="0" fontId="0" fillId="0" borderId="5" xfId="0" applyBorder="1" applyProtection="1">
      <protection locked="0"/>
    </xf>
    <xf numFmtId="0" fontId="9" fillId="6" borderId="0" xfId="0" applyFont="1" applyFill="1" applyProtection="1"/>
    <xf numFmtId="165" fontId="5" fillId="8" borderId="9" xfId="0" applyNumberFormat="1" applyFon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165" fontId="5" fillId="21" borderId="9" xfId="0" applyNumberFormat="1" applyFont="1" applyFill="1" applyBorder="1" applyAlignment="1" applyProtection="1">
      <alignment horizontal="center" vertical="center"/>
      <protection locked="0"/>
    </xf>
    <xf numFmtId="165" fontId="0" fillId="21" borderId="9" xfId="0" applyNumberFormat="1" applyFill="1" applyBorder="1" applyAlignment="1" applyProtection="1">
      <alignment horizontal="center" vertical="center"/>
      <protection locked="0"/>
    </xf>
    <xf numFmtId="0" fontId="2" fillId="0" borderId="0"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0" xfId="0" applyFont="1" applyBorder="1" applyAlignment="1" applyProtection="1">
      <alignment horizontal="left" vertical="center"/>
    </xf>
    <xf numFmtId="0" fontId="2" fillId="0" borderId="15"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6"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11" borderId="28"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9" xfId="0" applyFont="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xf>
    <xf numFmtId="0" fontId="2" fillId="0" borderId="7" xfId="0"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xf>
    <xf numFmtId="0" fontId="13" fillId="11" borderId="5" xfId="0" applyFont="1" applyFill="1" applyBorder="1" applyAlignment="1" applyProtection="1">
      <alignment vertical="center" wrapText="1"/>
      <protection locked="0"/>
    </xf>
    <xf numFmtId="0" fontId="16" fillId="0" borderId="0" xfId="0" applyFont="1" applyAlignment="1" applyProtection="1">
      <alignment horizontal="center" vertical="center"/>
      <protection locked="0"/>
    </xf>
    <xf numFmtId="0" fontId="70" fillId="10" borderId="0" xfId="0" applyFont="1" applyFill="1" applyProtection="1">
      <protection locked="0"/>
    </xf>
    <xf numFmtId="0" fontId="54" fillId="10" borderId="0" xfId="0" applyFont="1" applyFill="1" applyProtection="1">
      <protection locked="0"/>
    </xf>
    <xf numFmtId="0" fontId="0" fillId="10" borderId="0" xfId="0" applyFill="1" applyProtection="1">
      <protection locked="0"/>
    </xf>
    <xf numFmtId="0" fontId="0" fillId="0" borderId="28" xfId="0" applyBorder="1" applyAlignment="1" applyProtection="1">
      <alignment horizontal="center"/>
      <protection locked="0"/>
    </xf>
    <xf numFmtId="0" fontId="1" fillId="5" borderId="44"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wrapText="1"/>
      <protection locked="0"/>
    </xf>
    <xf numFmtId="0" fontId="5" fillId="5" borderId="4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wrapText="1"/>
      <protection locked="0"/>
    </xf>
    <xf numFmtId="0" fontId="0" fillId="4" borderId="42" xfId="0" applyFill="1" applyBorder="1" applyProtection="1">
      <protection locked="0"/>
    </xf>
    <xf numFmtId="0" fontId="13" fillId="0" borderId="24" xfId="0" applyFont="1" applyBorder="1" applyAlignment="1" applyProtection="1">
      <alignment horizontal="center" vertical="center" wrapText="1"/>
      <protection locked="0"/>
    </xf>
    <xf numFmtId="0" fontId="2" fillId="0" borderId="9" xfId="0" applyFont="1" applyBorder="1" applyAlignment="1" applyProtection="1">
      <alignment horizontal="center" vertical="top" wrapText="1"/>
      <protection locked="0"/>
    </xf>
    <xf numFmtId="165" fontId="2" fillId="7" borderId="9" xfId="0" applyNumberFormat="1" applyFont="1" applyFill="1" applyBorder="1" applyAlignment="1" applyProtection="1">
      <alignment vertical="top" wrapText="1"/>
      <protection locked="0"/>
    </xf>
    <xf numFmtId="1" fontId="2" fillId="7" borderId="9" xfId="0" applyNumberFormat="1" applyFont="1" applyFill="1" applyBorder="1" applyAlignment="1" applyProtection="1">
      <alignment vertical="center" wrapText="1"/>
      <protection locked="0"/>
    </xf>
    <xf numFmtId="0" fontId="13" fillId="0" borderId="9" xfId="0" applyFont="1" applyBorder="1" applyAlignment="1" applyProtection="1">
      <alignment horizontal="center" vertical="top" wrapText="1"/>
      <protection locked="0"/>
    </xf>
    <xf numFmtId="0" fontId="2" fillId="7" borderId="9" xfId="0" applyFont="1" applyFill="1" applyBorder="1" applyAlignment="1" applyProtection="1">
      <alignment vertical="center" wrapText="1"/>
      <protection locked="0"/>
    </xf>
    <xf numFmtId="0" fontId="14" fillId="0" borderId="42" xfId="0" applyFont="1" applyBorder="1" applyAlignment="1" applyProtection="1">
      <alignment vertical="top"/>
      <protection locked="0"/>
    </xf>
    <xf numFmtId="0" fontId="2" fillId="0" borderId="9" xfId="0" applyFont="1" applyFill="1" applyBorder="1" applyAlignment="1" applyProtection="1">
      <alignment vertical="top" wrapText="1"/>
      <protection locked="0"/>
    </xf>
    <xf numFmtId="165" fontId="2" fillId="0" borderId="42" xfId="0" applyNumberFormat="1" applyFont="1" applyFill="1" applyBorder="1" applyAlignment="1" applyProtection="1">
      <alignment vertical="top" wrapText="1"/>
      <protection locked="0"/>
    </xf>
    <xf numFmtId="0" fontId="2" fillId="10" borderId="9" xfId="0" applyFont="1" applyFill="1" applyBorder="1" applyAlignment="1" applyProtection="1">
      <alignment vertical="center" wrapText="1"/>
      <protection locked="0"/>
    </xf>
    <xf numFmtId="165" fontId="2" fillId="0" borderId="55" xfId="0" applyNumberFormat="1" applyFont="1" applyFill="1" applyBorder="1" applyAlignment="1" applyProtection="1">
      <alignment horizontal="center" vertical="center" wrapText="1"/>
      <protection locked="0"/>
    </xf>
    <xf numFmtId="165" fontId="0" fillId="7" borderId="42" xfId="0" applyNumberFormat="1" applyFill="1" applyBorder="1" applyAlignment="1" applyProtection="1">
      <alignment vertical="top"/>
      <protection locked="0"/>
    </xf>
    <xf numFmtId="0" fontId="2" fillId="0" borderId="54" xfId="0" applyFont="1" applyBorder="1" applyAlignment="1" applyProtection="1">
      <alignment horizontal="center" vertical="center" wrapText="1"/>
      <protection locked="0"/>
    </xf>
    <xf numFmtId="0" fontId="2" fillId="0" borderId="54" xfId="0" applyFont="1" applyFill="1" applyBorder="1" applyAlignment="1" applyProtection="1">
      <alignment vertical="center" wrapText="1"/>
      <protection locked="0"/>
    </xf>
    <xf numFmtId="165" fontId="2" fillId="8" borderId="55" xfId="0" applyNumberFormat="1" applyFont="1" applyFill="1" applyBorder="1" applyAlignment="1" applyProtection="1">
      <alignment horizontal="center" vertical="center" wrapText="1"/>
      <protection locked="0"/>
    </xf>
    <xf numFmtId="0" fontId="0" fillId="5" borderId="9" xfId="0" applyFill="1" applyBorder="1" applyProtection="1">
      <protection locked="0"/>
    </xf>
    <xf numFmtId="0" fontId="0" fillId="0" borderId="0" xfId="0" applyAlignment="1" applyProtection="1">
      <alignment horizontal="center" vertical="top"/>
      <protection locked="0"/>
    </xf>
    <xf numFmtId="0" fontId="4" fillId="5" borderId="20" xfId="0" applyFont="1" applyFill="1" applyBorder="1" applyAlignment="1" applyProtection="1">
      <alignment horizontal="center" vertical="center" wrapText="1"/>
      <protection locked="0"/>
    </xf>
    <xf numFmtId="0" fontId="2" fillId="5" borderId="9" xfId="0" applyFont="1" applyFill="1" applyBorder="1" applyAlignment="1" applyProtection="1">
      <alignment vertical="center" wrapText="1"/>
      <protection locked="0"/>
    </xf>
    <xf numFmtId="0" fontId="2" fillId="5" borderId="9" xfId="0" applyFont="1" applyFill="1" applyBorder="1" applyAlignment="1" applyProtection="1">
      <alignment horizontal="center" vertical="center" wrapText="1"/>
      <protection locked="0"/>
    </xf>
    <xf numFmtId="0" fontId="0" fillId="5" borderId="22" xfId="0" applyFill="1" applyBorder="1" applyAlignment="1" applyProtection="1">
      <alignment horizontal="justify" vertical="center"/>
      <protection locked="0"/>
    </xf>
    <xf numFmtId="0" fontId="0" fillId="0" borderId="22" xfId="0" applyBorder="1" applyAlignment="1" applyProtection="1">
      <alignment horizontal="justify" vertical="center"/>
      <protection locked="0"/>
    </xf>
    <xf numFmtId="0" fontId="2" fillId="11" borderId="9" xfId="0" applyFont="1" applyFill="1" applyBorder="1" applyAlignment="1" applyProtection="1">
      <alignment vertical="top" wrapText="1"/>
      <protection locked="0"/>
    </xf>
    <xf numFmtId="165" fontId="2" fillId="7" borderId="9" xfId="0" applyNumberFormat="1" applyFont="1" applyFill="1" applyBorder="1" applyAlignment="1" applyProtection="1">
      <alignment horizontal="center" vertical="top" wrapText="1"/>
      <protection locked="0"/>
    </xf>
    <xf numFmtId="165" fontId="2" fillId="11" borderId="9" xfId="0" applyNumberFormat="1" applyFont="1" applyFill="1" applyBorder="1" applyAlignment="1" applyProtection="1">
      <alignment vertical="top" wrapText="1"/>
      <protection locked="0"/>
    </xf>
    <xf numFmtId="0" fontId="11" fillId="11" borderId="9" xfId="0" applyFont="1" applyFill="1" applyBorder="1" applyAlignment="1" applyProtection="1">
      <alignment horizontal="center" vertical="top" wrapText="1"/>
      <protection locked="0"/>
    </xf>
    <xf numFmtId="0" fontId="0" fillId="0" borderId="22" xfId="0" applyBorder="1" applyAlignment="1" applyProtection="1">
      <alignment horizontal="justify" vertical="top"/>
      <protection locked="0"/>
    </xf>
    <xf numFmtId="165" fontId="2" fillId="7" borderId="9" xfId="0" applyNumberFormat="1" applyFont="1" applyFill="1" applyBorder="1" applyAlignment="1" applyProtection="1">
      <alignment horizontal="center" vertical="center" wrapText="1"/>
      <protection locked="0"/>
    </xf>
    <xf numFmtId="165" fontId="13" fillId="7" borderId="9" xfId="0" applyNumberFormat="1" applyFont="1" applyFill="1" applyBorder="1" applyAlignment="1" applyProtection="1">
      <alignment horizontal="center" vertical="center" wrapText="1"/>
      <protection locked="0"/>
    </xf>
    <xf numFmtId="1" fontId="2" fillId="7" borderId="9" xfId="0" applyNumberFormat="1" applyFont="1" applyFill="1" applyBorder="1" applyAlignment="1" applyProtection="1">
      <alignment horizontal="center" vertical="center" wrapText="1"/>
      <protection locked="0"/>
    </xf>
    <xf numFmtId="1" fontId="13" fillId="7" borderId="9" xfId="0" applyNumberFormat="1" applyFont="1" applyFill="1" applyBorder="1" applyAlignment="1" applyProtection="1">
      <alignment horizontal="center" vertical="center" wrapText="1"/>
      <protection locked="0"/>
    </xf>
    <xf numFmtId="0" fontId="0" fillId="0" borderId="35" xfId="0" applyBorder="1" applyAlignment="1" applyProtection="1">
      <alignment horizontal="justify" vertical="center"/>
      <protection locked="0"/>
    </xf>
    <xf numFmtId="165" fontId="2" fillId="0" borderId="9" xfId="0" applyNumberFormat="1" applyFont="1" applyFill="1" applyBorder="1" applyAlignment="1" applyProtection="1">
      <alignment horizontal="center" vertical="center" wrapText="1"/>
      <protection locked="0"/>
    </xf>
    <xf numFmtId="165" fontId="13" fillId="0" borderId="9" xfId="0" applyNumberFormat="1" applyFont="1" applyFill="1" applyBorder="1" applyAlignment="1" applyProtection="1">
      <alignment horizontal="center" vertical="center" wrapText="1"/>
      <protection locked="0"/>
    </xf>
    <xf numFmtId="0" fontId="2" fillId="0" borderId="9" xfId="0" applyFont="1" applyFill="1" applyBorder="1" applyAlignment="1" applyProtection="1">
      <alignment horizontal="left" vertical="top" wrapText="1"/>
      <protection locked="0"/>
    </xf>
    <xf numFmtId="0" fontId="13" fillId="11" borderId="9" xfId="0" applyFont="1" applyFill="1" applyBorder="1" applyAlignment="1" applyProtection="1">
      <alignment vertical="top" wrapText="1"/>
      <protection locked="0"/>
    </xf>
    <xf numFmtId="0" fontId="2" fillId="11" borderId="9" xfId="0" applyFont="1" applyFill="1" applyBorder="1" applyAlignment="1" applyProtection="1">
      <alignment horizontal="left" vertical="top" wrapText="1"/>
      <protection locked="0"/>
    </xf>
    <xf numFmtId="165" fontId="14" fillId="7" borderId="9" xfId="0" applyNumberFormat="1" applyFont="1" applyFill="1" applyBorder="1" applyAlignment="1" applyProtection="1">
      <alignment horizontal="center" vertical="center"/>
      <protection locked="0"/>
    </xf>
    <xf numFmtId="165" fontId="0" fillId="0" borderId="9" xfId="0" applyNumberFormat="1" applyBorder="1" applyAlignment="1" applyProtection="1">
      <alignment vertical="center"/>
      <protection locked="0"/>
    </xf>
    <xf numFmtId="165" fontId="2" fillId="11" borderId="9" xfId="0" applyNumberFormat="1" applyFont="1" applyFill="1" applyBorder="1" applyAlignment="1" applyProtection="1">
      <alignment horizontal="center" vertical="center" wrapText="1"/>
      <protection locked="0"/>
    </xf>
    <xf numFmtId="165" fontId="14" fillId="8" borderId="9" xfId="0" applyNumberFormat="1" applyFont="1" applyFill="1" applyBorder="1" applyAlignment="1" applyProtection="1">
      <alignment horizontal="center" vertical="center"/>
      <protection locked="0"/>
    </xf>
    <xf numFmtId="1" fontId="2" fillId="7" borderId="9" xfId="0" applyNumberFormat="1" applyFont="1" applyFill="1" applyBorder="1" applyAlignment="1" applyProtection="1">
      <alignment vertical="center" wrapText="1"/>
    </xf>
    <xf numFmtId="165" fontId="2" fillId="7" borderId="5" xfId="0" applyNumberFormat="1" applyFont="1" applyFill="1" applyBorder="1" applyAlignment="1" applyProtection="1">
      <alignment vertical="center" wrapText="1"/>
      <protection locked="0"/>
    </xf>
    <xf numFmtId="165" fontId="18" fillId="7" borderId="5" xfId="0" applyNumberFormat="1" applyFont="1" applyFill="1" applyBorder="1" applyAlignment="1" applyProtection="1">
      <alignment vertical="center" wrapText="1"/>
      <protection locked="0"/>
    </xf>
    <xf numFmtId="2" fontId="18" fillId="7" borderId="5" xfId="0" applyNumberFormat="1" applyFont="1" applyFill="1" applyBorder="1" applyAlignment="1" applyProtection="1">
      <alignment vertical="center" wrapText="1"/>
      <protection locked="0"/>
    </xf>
    <xf numFmtId="164" fontId="18" fillId="7" borderId="5" xfId="0" applyNumberFormat="1" applyFont="1" applyFill="1" applyBorder="1" applyAlignment="1" applyProtection="1">
      <alignment vertical="center" wrapText="1"/>
      <protection locked="0"/>
    </xf>
    <xf numFmtId="2" fontId="18" fillId="7" borderId="6" xfId="0" applyNumberFormat="1" applyFont="1" applyFill="1" applyBorder="1" applyAlignment="1" applyProtection="1">
      <alignment vertical="center" wrapText="1"/>
      <protection locked="0"/>
    </xf>
    <xf numFmtId="0" fontId="8" fillId="7" borderId="9" xfId="0" applyFont="1" applyFill="1" applyBorder="1" applyProtection="1">
      <protection locked="0"/>
    </xf>
    <xf numFmtId="0" fontId="18" fillId="7" borderId="5" xfId="0" applyFont="1" applyFill="1" applyBorder="1" applyAlignment="1" applyProtection="1">
      <alignment vertical="center" wrapText="1"/>
      <protection locked="0"/>
    </xf>
    <xf numFmtId="164" fontId="18" fillId="7" borderId="9" xfId="0" applyNumberFormat="1" applyFont="1" applyFill="1" applyBorder="1" applyAlignment="1" applyProtection="1">
      <alignment vertical="center" wrapText="1"/>
      <protection locked="0"/>
    </xf>
    <xf numFmtId="2" fontId="18" fillId="7" borderId="9" xfId="0" applyNumberFormat="1" applyFont="1" applyFill="1" applyBorder="1" applyAlignment="1" applyProtection="1">
      <alignment vertical="center" wrapText="1"/>
      <protection locked="0"/>
    </xf>
    <xf numFmtId="165" fontId="18" fillId="7" borderId="9" xfId="0" applyNumberFormat="1" applyFont="1" applyFill="1" applyBorder="1" applyAlignment="1" applyProtection="1">
      <alignment vertical="center" wrapText="1"/>
      <protection locked="0"/>
    </xf>
    <xf numFmtId="0" fontId="18" fillId="0" borderId="5" xfId="0" applyFont="1" applyBorder="1" applyAlignment="1" applyProtection="1">
      <alignment vertical="center" wrapText="1"/>
      <protection locked="0"/>
    </xf>
    <xf numFmtId="164" fontId="18" fillId="11" borderId="5" xfId="0" applyNumberFormat="1" applyFont="1" applyFill="1" applyBorder="1" applyAlignment="1" applyProtection="1">
      <alignment vertical="center" wrapText="1"/>
      <protection locked="0"/>
    </xf>
    <xf numFmtId="164" fontId="18" fillId="0" borderId="5" xfId="0" applyNumberFormat="1" applyFont="1" applyBorder="1" applyAlignment="1" applyProtection="1">
      <alignment vertical="center" wrapText="1"/>
      <protection locked="0"/>
    </xf>
    <xf numFmtId="0" fontId="40" fillId="5" borderId="9"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52" xfId="0" applyFont="1" applyFill="1" applyBorder="1" applyAlignment="1" applyProtection="1">
      <alignment horizontal="center" vertical="center" wrapText="1"/>
    </xf>
    <xf numFmtId="0" fontId="2" fillId="0" borderId="6" xfId="0" applyFont="1" applyBorder="1" applyAlignment="1" applyProtection="1">
      <alignment vertical="center" wrapText="1"/>
    </xf>
    <xf numFmtId="0" fontId="1" fillId="5" borderId="44" xfId="0" applyFont="1" applyFill="1" applyBorder="1" applyAlignment="1" applyProtection="1">
      <alignment horizontal="center" vertical="center" wrapText="1"/>
    </xf>
    <xf numFmtId="0" fontId="1" fillId="5" borderId="48" xfId="0" applyFont="1" applyFill="1" applyBorder="1" applyAlignment="1" applyProtection="1">
      <alignment horizontal="center" vertical="center" wrapText="1"/>
    </xf>
    <xf numFmtId="0" fontId="61" fillId="5" borderId="48" xfId="0" applyFont="1" applyFill="1" applyBorder="1" applyAlignment="1" applyProtection="1">
      <alignment horizontal="center" vertical="center" wrapText="1"/>
    </xf>
    <xf numFmtId="0" fontId="40" fillId="5" borderId="9" xfId="0" applyFont="1" applyFill="1" applyBorder="1" applyAlignment="1" applyProtection="1">
      <alignment vertical="center" wrapText="1"/>
    </xf>
    <xf numFmtId="0" fontId="44" fillId="4" borderId="9" xfId="0" applyFont="1" applyFill="1" applyBorder="1" applyAlignment="1" applyProtection="1">
      <alignment horizontal="center" vertical="center" wrapText="1"/>
    </xf>
    <xf numFmtId="0" fontId="0" fillId="4" borderId="0" xfId="0" applyFill="1" applyProtection="1"/>
    <xf numFmtId="0" fontId="61" fillId="4" borderId="9" xfId="0" applyFont="1" applyFill="1" applyBorder="1" applyAlignment="1" applyProtection="1">
      <alignment horizontal="center" vertical="center" wrapText="1"/>
    </xf>
    <xf numFmtId="0" fontId="61" fillId="4" borderId="16" xfId="0" applyFont="1" applyFill="1" applyBorder="1" applyAlignment="1" applyProtection="1">
      <alignment horizontal="center" vertical="center" wrapText="1"/>
    </xf>
    <xf numFmtId="0" fontId="61" fillId="4" borderId="52" xfId="0" applyFont="1" applyFill="1" applyBorder="1" applyAlignment="1" applyProtection="1">
      <alignment horizontal="center" vertical="center" wrapText="1"/>
    </xf>
    <xf numFmtId="0" fontId="2" fillId="0" borderId="5" xfId="0" applyFont="1" applyBorder="1" applyAlignment="1" applyProtection="1">
      <alignment wrapText="1"/>
      <protection locked="0"/>
    </xf>
    <xf numFmtId="0" fontId="2" fillId="0" borderId="1" xfId="0" applyFont="1" applyBorder="1" applyAlignment="1" applyProtection="1">
      <alignment vertical="center" wrapText="1"/>
      <protection locked="0"/>
    </xf>
    <xf numFmtId="164" fontId="2" fillId="7" borderId="5" xfId="0" applyNumberFormat="1" applyFont="1" applyFill="1" applyBorder="1" applyAlignment="1" applyProtection="1">
      <alignment vertical="center" wrapText="1"/>
      <protection locked="0"/>
    </xf>
    <xf numFmtId="164" fontId="2" fillId="7" borderId="6" xfId="0" applyNumberFormat="1" applyFont="1" applyFill="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4" xfId="0" applyFont="1" applyBorder="1" applyAlignment="1" applyProtection="1">
      <alignment wrapText="1"/>
      <protection locked="0"/>
    </xf>
    <xf numFmtId="2" fontId="2" fillId="7" borderId="5" xfId="0" applyNumberFormat="1" applyFont="1" applyFill="1" applyBorder="1" applyAlignment="1" applyProtection="1">
      <alignment vertical="center" wrapText="1"/>
      <protection locked="0"/>
    </xf>
    <xf numFmtId="2" fontId="2" fillId="7" borderId="6" xfId="0" applyNumberFormat="1" applyFont="1" applyFill="1" applyBorder="1" applyAlignment="1" applyProtection="1">
      <alignment vertical="center" wrapText="1"/>
      <protection locked="0"/>
    </xf>
    <xf numFmtId="164" fontId="13" fillId="7" borderId="5" xfId="0" applyNumberFormat="1" applyFont="1" applyFill="1" applyBorder="1" applyAlignment="1" applyProtection="1">
      <alignment vertical="center" wrapText="1"/>
      <protection locked="0"/>
    </xf>
    <xf numFmtId="164" fontId="13" fillId="7" borderId="6" xfId="0" applyNumberFormat="1" applyFont="1" applyFill="1" applyBorder="1" applyAlignment="1" applyProtection="1">
      <alignment vertical="center" wrapText="1"/>
      <protection locked="0"/>
    </xf>
    <xf numFmtId="164" fontId="13" fillId="7" borderId="6" xfId="0" applyNumberFormat="1" applyFont="1" applyFill="1" applyBorder="1" applyAlignment="1" applyProtection="1">
      <alignment horizontal="right" vertical="center" wrapText="1"/>
      <protection locked="0"/>
    </xf>
    <xf numFmtId="0" fontId="0" fillId="7" borderId="24" xfId="0" applyFont="1" applyFill="1" applyBorder="1" applyAlignment="1" applyProtection="1">
      <alignment horizontal="center"/>
      <protection locked="0"/>
    </xf>
    <xf numFmtId="0" fontId="0" fillId="7" borderId="25" xfId="0" applyFill="1" applyBorder="1" applyProtection="1">
      <protection locked="0"/>
    </xf>
    <xf numFmtId="164" fontId="2" fillId="7" borderId="23" xfId="0" applyNumberFormat="1" applyFont="1" applyFill="1" applyBorder="1" applyAlignment="1" applyProtection="1">
      <alignment vertical="center" wrapText="1"/>
      <protection locked="0"/>
    </xf>
    <xf numFmtId="165" fontId="0" fillId="7" borderId="25" xfId="0" applyNumberFormat="1" applyFill="1" applyBorder="1" applyProtection="1">
      <protection locked="0"/>
    </xf>
    <xf numFmtId="165" fontId="0" fillId="7" borderId="26" xfId="0" applyNumberFormat="1" applyFill="1" applyBorder="1" applyProtection="1">
      <protection locked="0"/>
    </xf>
    <xf numFmtId="0" fontId="0" fillId="7" borderId="9" xfId="0" applyFont="1" applyFill="1" applyBorder="1" applyAlignment="1" applyProtection="1">
      <alignment horizontal="center"/>
      <protection locked="0"/>
    </xf>
    <xf numFmtId="164" fontId="2" fillId="7" borderId="9" xfId="0" applyNumberFormat="1" applyFont="1" applyFill="1" applyBorder="1" applyAlignment="1" applyProtection="1">
      <alignment vertical="center" wrapText="1"/>
      <protection locked="0"/>
    </xf>
    <xf numFmtId="165" fontId="0" fillId="7" borderId="9" xfId="0" applyNumberFormat="1" applyFill="1" applyBorder="1" applyProtection="1">
      <protection locked="0"/>
    </xf>
    <xf numFmtId="0" fontId="14" fillId="7" borderId="9" xfId="0" applyFont="1" applyFill="1" applyBorder="1" applyAlignment="1" applyProtection="1">
      <alignment horizontal="center"/>
      <protection locked="0"/>
    </xf>
    <xf numFmtId="0" fontId="14" fillId="7" borderId="9" xfId="0" applyFont="1" applyFill="1" applyBorder="1" applyProtection="1">
      <protection locked="0"/>
    </xf>
    <xf numFmtId="164" fontId="13" fillId="7" borderId="9" xfId="0" applyNumberFormat="1" applyFont="1" applyFill="1" applyBorder="1" applyAlignment="1" applyProtection="1">
      <alignment vertical="center" wrapText="1"/>
      <protection locked="0"/>
    </xf>
    <xf numFmtId="165" fontId="14" fillId="7" borderId="9" xfId="0" applyNumberFormat="1" applyFont="1" applyFill="1" applyBorder="1" applyProtection="1">
      <protection locked="0"/>
    </xf>
    <xf numFmtId="0" fontId="1" fillId="5" borderId="16" xfId="0" applyFont="1" applyFill="1" applyBorder="1" applyAlignment="1" applyProtection="1">
      <alignment horizontal="center" vertical="center" wrapText="1"/>
    </xf>
    <xf numFmtId="0" fontId="1" fillId="5" borderId="52" xfId="0" applyFont="1" applyFill="1" applyBorder="1" applyAlignment="1" applyProtection="1">
      <alignment horizontal="center" vertical="center" wrapText="1"/>
    </xf>
    <xf numFmtId="0" fontId="2" fillId="0" borderId="0"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164" fontId="0" fillId="7" borderId="9" xfId="0" applyNumberFormat="1" applyFill="1" applyBorder="1" applyAlignment="1" applyProtection="1">
      <alignment horizontal="center" vertical="center"/>
      <protection locked="0"/>
    </xf>
    <xf numFmtId="0" fontId="1" fillId="4" borderId="9"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1" fillId="4" borderId="52" xfId="0" applyFont="1" applyFill="1" applyBorder="1" applyAlignment="1" applyProtection="1">
      <alignment horizontal="center" vertical="center" wrapText="1"/>
    </xf>
    <xf numFmtId="0" fontId="41" fillId="0" borderId="0" xfId="0" applyFont="1" applyBorder="1" applyAlignment="1" applyProtection="1">
      <alignment horizontal="center" vertical="center"/>
      <protection locked="0"/>
    </xf>
    <xf numFmtId="0" fontId="41" fillId="0" borderId="0" xfId="0" applyFont="1" applyBorder="1" applyAlignment="1" applyProtection="1">
      <alignment vertical="center" wrapText="1"/>
      <protection locked="0"/>
    </xf>
    <xf numFmtId="0" fontId="55" fillId="17" borderId="9" xfId="0" applyFont="1" applyFill="1" applyBorder="1" applyAlignment="1" applyProtection="1">
      <alignment horizontal="center" vertical="center"/>
      <protection locked="0"/>
    </xf>
    <xf numFmtId="0" fontId="56" fillId="11" borderId="24" xfId="0" applyFont="1" applyFill="1" applyBorder="1" applyAlignment="1" applyProtection="1">
      <alignment horizontal="center" vertical="center"/>
      <protection locked="0"/>
    </xf>
    <xf numFmtId="0" fontId="56" fillId="11" borderId="25" xfId="0" applyFont="1" applyFill="1" applyBorder="1" applyAlignment="1" applyProtection="1">
      <alignment horizontal="center" vertical="center"/>
      <protection locked="0"/>
    </xf>
    <xf numFmtId="0" fontId="57" fillId="6" borderId="9" xfId="0" applyFont="1" applyFill="1" applyBorder="1" applyAlignment="1" applyProtection="1">
      <alignment horizontal="center" vertical="center"/>
      <protection locked="0"/>
    </xf>
    <xf numFmtId="0" fontId="57" fillId="11" borderId="24" xfId="0" applyFont="1" applyFill="1" applyBorder="1" applyAlignment="1" applyProtection="1">
      <alignment horizontal="center" vertical="center"/>
      <protection locked="0"/>
    </xf>
    <xf numFmtId="0" fontId="57" fillId="11" borderId="25" xfId="0" applyFont="1" applyFill="1" applyBorder="1" applyAlignment="1" applyProtection="1">
      <alignment horizontal="center" vertical="center"/>
      <protection locked="0"/>
    </xf>
    <xf numFmtId="0" fontId="51" fillId="11" borderId="25" xfId="0" applyFont="1" applyFill="1" applyBorder="1" applyAlignment="1" applyProtection="1">
      <alignment horizontal="center" vertical="center"/>
      <protection locked="0"/>
    </xf>
    <xf numFmtId="0" fontId="57" fillId="6" borderId="24" xfId="0" applyFont="1" applyFill="1" applyBorder="1" applyAlignment="1" applyProtection="1">
      <alignment horizontal="center" vertical="center"/>
      <protection locked="0"/>
    </xf>
    <xf numFmtId="0" fontId="57" fillId="6" borderId="25" xfId="0" applyFont="1" applyFill="1" applyBorder="1" applyAlignment="1" applyProtection="1">
      <alignment horizontal="center" vertical="center"/>
      <protection locked="0"/>
    </xf>
    <xf numFmtId="0" fontId="57" fillId="6" borderId="26" xfId="0" applyFont="1" applyFill="1" applyBorder="1" applyAlignment="1" applyProtection="1">
      <alignment horizontal="center" vertical="center"/>
      <protection locked="0"/>
    </xf>
    <xf numFmtId="0" fontId="51" fillId="11" borderId="17" xfId="0" applyFont="1" applyFill="1" applyBorder="1" applyAlignment="1" applyProtection="1">
      <alignment horizontal="center" vertical="center" wrapText="1"/>
    </xf>
    <xf numFmtId="0" fontId="51" fillId="11" borderId="14" xfId="0" applyFont="1" applyFill="1" applyBorder="1" applyAlignment="1" applyProtection="1">
      <alignment horizontal="center" vertical="center" wrapText="1"/>
    </xf>
    <xf numFmtId="0" fontId="51" fillId="11" borderId="15" xfId="0" applyFont="1" applyFill="1" applyBorder="1" applyAlignment="1" applyProtection="1">
      <alignment horizontal="center" vertical="center" wrapText="1"/>
    </xf>
    <xf numFmtId="0" fontId="51" fillId="11" borderId="18" xfId="0" applyFont="1" applyFill="1" applyBorder="1" applyAlignment="1" applyProtection="1">
      <alignment horizontal="center" vertical="center" wrapText="1"/>
    </xf>
    <xf numFmtId="0" fontId="51" fillId="11" borderId="16" xfId="0" applyFont="1" applyFill="1" applyBorder="1" applyAlignment="1" applyProtection="1">
      <alignment horizontal="center" vertical="center" wrapText="1"/>
    </xf>
    <xf numFmtId="0" fontId="57" fillId="11" borderId="9" xfId="0" applyFont="1" applyFill="1" applyBorder="1" applyAlignment="1" applyProtection="1">
      <alignment horizontal="center" vertical="center"/>
      <protection locked="0"/>
    </xf>
    <xf numFmtId="0" fontId="51" fillId="11" borderId="9" xfId="0" applyFont="1" applyFill="1" applyBorder="1" applyAlignment="1" applyProtection="1">
      <alignment horizontal="center" vertical="center" wrapText="1"/>
    </xf>
    <xf numFmtId="0" fontId="58" fillId="6" borderId="9" xfId="1" applyFont="1" applyFill="1" applyBorder="1" applyAlignment="1" applyProtection="1">
      <alignment horizontal="center" vertical="center"/>
      <protection locked="0"/>
    </xf>
    <xf numFmtId="0" fontId="41" fillId="19" borderId="9" xfId="0" applyFont="1" applyFill="1" applyBorder="1" applyAlignment="1" applyProtection="1">
      <alignment horizontal="center" vertical="center" wrapText="1"/>
      <protection locked="0"/>
    </xf>
    <xf numFmtId="0" fontId="40" fillId="5" borderId="39" xfId="0" applyFont="1" applyFill="1" applyBorder="1" applyAlignment="1" applyProtection="1">
      <alignment horizontal="center" vertical="center" wrapText="1"/>
    </xf>
    <xf numFmtId="0" fontId="40" fillId="5" borderId="38" xfId="0" applyFont="1" applyFill="1" applyBorder="1" applyAlignment="1" applyProtection="1">
      <alignment horizontal="center" vertical="center" wrapText="1"/>
    </xf>
    <xf numFmtId="0" fontId="40" fillId="5" borderId="37" xfId="0" applyFont="1" applyFill="1" applyBorder="1" applyAlignment="1" applyProtection="1">
      <alignment horizontal="center" vertical="center" wrapText="1"/>
    </xf>
    <xf numFmtId="0" fontId="40" fillId="5" borderId="9" xfId="0" applyFont="1" applyFill="1" applyBorder="1" applyAlignment="1" applyProtection="1">
      <alignment horizontal="center" vertical="center" wrapText="1"/>
    </xf>
    <xf numFmtId="0" fontId="40" fillId="13" borderId="9" xfId="0" applyFont="1" applyFill="1" applyBorder="1" applyAlignment="1" applyProtection="1">
      <alignment horizontal="center" vertical="center"/>
    </xf>
    <xf numFmtId="0" fontId="41" fillId="19" borderId="9" xfId="0" applyFont="1" applyFill="1" applyBorder="1" applyAlignment="1" applyProtection="1">
      <alignment horizontal="center" vertical="center"/>
      <protection locked="0"/>
    </xf>
    <xf numFmtId="0" fontId="41" fillId="19" borderId="24" xfId="0" quotePrefix="1" applyFont="1" applyFill="1" applyBorder="1" applyAlignment="1" applyProtection="1">
      <alignment horizontal="center" vertical="center"/>
      <protection locked="0"/>
    </xf>
    <xf numFmtId="0" fontId="41" fillId="19" borderId="25" xfId="0" quotePrefix="1" applyFont="1" applyFill="1" applyBorder="1" applyAlignment="1" applyProtection="1">
      <alignment horizontal="center" vertical="center"/>
      <protection locked="0"/>
    </xf>
    <xf numFmtId="0" fontId="41" fillId="19" borderId="25" xfId="0" applyFont="1" applyFill="1" applyBorder="1" applyAlignment="1" applyProtection="1">
      <alignment horizontal="center" vertical="center"/>
      <protection locked="0"/>
    </xf>
    <xf numFmtId="0" fontId="41" fillId="19" borderId="26" xfId="0" applyFont="1" applyFill="1" applyBorder="1" applyAlignment="1" applyProtection="1">
      <alignment horizontal="center" vertical="center"/>
      <protection locked="0"/>
    </xf>
    <xf numFmtId="0" fontId="41" fillId="0" borderId="9" xfId="0" applyFont="1" applyBorder="1" applyAlignment="1" applyProtection="1">
      <alignment horizontal="center" vertical="center" wrapText="1"/>
    </xf>
    <xf numFmtId="0" fontId="41" fillId="0" borderId="9" xfId="0" applyFont="1" applyBorder="1" applyAlignment="1" applyProtection="1">
      <alignment vertical="center" wrapText="1"/>
    </xf>
    <xf numFmtId="0" fontId="41" fillId="11" borderId="9" xfId="0" applyFont="1" applyFill="1" applyBorder="1" applyAlignment="1" applyProtection="1">
      <alignment horizontal="center" vertical="center" wrapText="1"/>
    </xf>
    <xf numFmtId="0" fontId="41" fillId="19" borderId="24" xfId="0" applyFont="1" applyFill="1" applyBorder="1" applyAlignment="1" applyProtection="1">
      <alignment horizontal="center" vertical="center" wrapText="1"/>
      <protection locked="0"/>
    </xf>
    <xf numFmtId="0" fontId="41" fillId="19" borderId="25" xfId="0" applyFont="1" applyFill="1" applyBorder="1" applyAlignment="1" applyProtection="1">
      <alignment horizontal="center" vertical="center" wrapText="1"/>
      <protection locked="0"/>
    </xf>
    <xf numFmtId="0" fontId="41" fillId="19" borderId="26" xfId="0" applyFont="1" applyFill="1" applyBorder="1" applyAlignment="1" applyProtection="1">
      <alignment horizontal="center" vertical="center" wrapText="1"/>
      <protection locked="0"/>
    </xf>
    <xf numFmtId="0" fontId="40" fillId="5" borderId="9" xfId="0" applyFont="1" applyFill="1" applyBorder="1" applyAlignment="1" applyProtection="1">
      <alignment horizontal="justify" vertical="center" wrapText="1"/>
    </xf>
    <xf numFmtId="0" fontId="41" fillId="0" borderId="9" xfId="0" applyFont="1" applyBorder="1" applyAlignment="1" applyProtection="1">
      <alignment horizontal="center" vertical="center"/>
    </xf>
    <xf numFmtId="0" fontId="40" fillId="13" borderId="9" xfId="0" applyFont="1" applyFill="1" applyBorder="1" applyAlignment="1" applyProtection="1">
      <alignment vertical="center" wrapText="1"/>
    </xf>
    <xf numFmtId="0" fontId="40" fillId="14" borderId="9" xfId="0" applyFont="1" applyFill="1" applyBorder="1" applyAlignment="1" applyProtection="1">
      <alignment vertical="center" wrapText="1"/>
    </xf>
    <xf numFmtId="0" fontId="61" fillId="5" borderId="45" xfId="0" applyFont="1" applyFill="1" applyBorder="1" applyAlignment="1" applyProtection="1">
      <alignment horizontal="center" vertical="center"/>
    </xf>
    <xf numFmtId="0" fontId="61" fillId="5" borderId="47" xfId="0" applyFont="1" applyFill="1" applyBorder="1" applyAlignment="1" applyProtection="1">
      <alignment horizontal="center" vertical="center"/>
    </xf>
    <xf numFmtId="0" fontId="41" fillId="8" borderId="15" xfId="0" applyFont="1" applyFill="1" applyBorder="1" applyAlignment="1" applyProtection="1">
      <alignment horizontal="center" vertical="center" wrapText="1"/>
    </xf>
    <xf numFmtId="0" fontId="41" fillId="8" borderId="16" xfId="0" applyFont="1" applyFill="1" applyBorder="1" applyAlignment="1" applyProtection="1">
      <alignment horizontal="center" vertical="center" wrapText="1"/>
    </xf>
    <xf numFmtId="0" fontId="41" fillId="8" borderId="15" xfId="0" applyFont="1" applyFill="1" applyBorder="1" applyAlignment="1" applyProtection="1">
      <alignment horizontal="left" vertical="center" wrapText="1"/>
    </xf>
    <xf numFmtId="0" fontId="41" fillId="8" borderId="16" xfId="0" applyFont="1" applyFill="1" applyBorder="1" applyAlignment="1" applyProtection="1">
      <alignment horizontal="left" vertical="center" wrapText="1"/>
    </xf>
    <xf numFmtId="0" fontId="47" fillId="0" borderId="0" xfId="0" applyFont="1" applyBorder="1" applyAlignment="1" applyProtection="1">
      <alignment horizontal="center" vertical="center" wrapText="1"/>
      <protection locked="0"/>
    </xf>
    <xf numFmtId="0" fontId="0" fillId="19" borderId="7" xfId="0" applyFill="1" applyBorder="1" applyAlignment="1" applyProtection="1">
      <alignment horizontal="center"/>
      <protection locked="0"/>
    </xf>
    <xf numFmtId="0" fontId="0" fillId="19" borderId="3" xfId="0" applyFill="1" applyBorder="1" applyAlignment="1" applyProtection="1">
      <alignment horizontal="center"/>
      <protection locked="0"/>
    </xf>
    <xf numFmtId="0" fontId="0" fillId="19" borderId="2" xfId="0" applyFill="1" applyBorder="1" applyAlignment="1" applyProtection="1">
      <alignment horizontal="center"/>
      <protection locked="0"/>
    </xf>
    <xf numFmtId="0" fontId="39" fillId="11" borderId="0" xfId="0" applyFont="1" applyFill="1" applyBorder="1" applyAlignment="1" applyProtection="1">
      <alignment horizontal="center" vertical="center"/>
      <protection locked="0"/>
    </xf>
    <xf numFmtId="0" fontId="25" fillId="18" borderId="24" xfId="0" applyFont="1" applyFill="1" applyBorder="1" applyAlignment="1" applyProtection="1">
      <alignment horizontal="left" vertical="center" wrapText="1"/>
    </xf>
    <xf numFmtId="0" fontId="25" fillId="18" borderId="26" xfId="0" applyFont="1" applyFill="1" applyBorder="1" applyAlignment="1" applyProtection="1">
      <alignment horizontal="left" vertical="center" wrapText="1"/>
    </xf>
    <xf numFmtId="0" fontId="39" fillId="11" borderId="0" xfId="0" applyFont="1" applyFill="1" applyBorder="1" applyAlignment="1" applyProtection="1">
      <alignment horizontal="center" vertical="center" wrapText="1"/>
      <protection locked="0"/>
    </xf>
    <xf numFmtId="2" fontId="0" fillId="19" borderId="24" xfId="0" applyNumberFormat="1" applyFill="1" applyBorder="1" applyAlignment="1" applyProtection="1">
      <alignment horizontal="center" vertical="center"/>
      <protection locked="0"/>
    </xf>
    <xf numFmtId="2" fontId="0" fillId="19" borderId="25" xfId="0" applyNumberFormat="1" applyFill="1" applyBorder="1" applyAlignment="1" applyProtection="1">
      <alignment horizontal="center" vertical="center"/>
      <protection locked="0"/>
    </xf>
    <xf numFmtId="2" fontId="0" fillId="19" borderId="26" xfId="0" applyNumberForma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xf>
    <xf numFmtId="0" fontId="1" fillId="5" borderId="47" xfId="0" applyFont="1" applyFill="1" applyBorder="1" applyAlignment="1" applyProtection="1">
      <alignment horizontal="center" vertical="center"/>
    </xf>
    <xf numFmtId="0" fontId="39" fillId="11" borderId="0" xfId="0" applyFont="1" applyFill="1" applyBorder="1" applyAlignment="1" applyProtection="1">
      <alignment vertical="center"/>
      <protection locked="0"/>
    </xf>
    <xf numFmtId="0" fontId="0" fillId="0" borderId="0" xfId="0" applyBorder="1" applyAlignment="1" applyProtection="1">
      <alignment horizontal="left" vertical="top" wrapText="1"/>
    </xf>
    <xf numFmtId="0" fontId="35" fillId="0" borderId="40" xfId="0" applyFont="1" applyBorder="1" applyAlignment="1" applyProtection="1">
      <alignment horizontal="center"/>
      <protection locked="0"/>
    </xf>
    <xf numFmtId="0" fontId="35" fillId="0" borderId="0" xfId="0" applyFont="1" applyBorder="1" applyAlignment="1" applyProtection="1">
      <alignment horizontal="center"/>
      <protection locked="0"/>
    </xf>
    <xf numFmtId="0" fontId="35" fillId="0" borderId="27" xfId="0" applyFont="1" applyBorder="1" applyAlignment="1" applyProtection="1">
      <alignment horizontal="center"/>
      <protection locked="0"/>
    </xf>
    <xf numFmtId="0" fontId="35" fillId="0" borderId="17" xfId="0" applyFont="1" applyBorder="1" applyAlignment="1" applyProtection="1">
      <alignment horizontal="center"/>
      <protection locked="0"/>
    </xf>
    <xf numFmtId="0" fontId="2" fillId="0" borderId="36" xfId="0" applyFont="1" applyFill="1" applyBorder="1" applyAlignment="1" applyProtection="1">
      <alignment horizontal="left" vertical="center" wrapText="1"/>
    </xf>
    <xf numFmtId="0" fontId="5" fillId="5" borderId="59" xfId="0" applyFont="1" applyFill="1" applyBorder="1" applyAlignment="1" applyProtection="1">
      <alignment horizontal="center"/>
    </xf>
    <xf numFmtId="0" fontId="5" fillId="5" borderId="33" xfId="0" applyFont="1" applyFill="1" applyBorder="1" applyAlignment="1" applyProtection="1">
      <alignment horizontal="center"/>
    </xf>
    <xf numFmtId="0" fontId="5" fillId="5" borderId="60" xfId="0" applyFont="1" applyFill="1" applyBorder="1" applyAlignment="1" applyProtection="1">
      <alignment horizontal="center"/>
    </xf>
    <xf numFmtId="0" fontId="10" fillId="11" borderId="9" xfId="0" applyFont="1" applyFill="1" applyBorder="1" applyAlignment="1" applyProtection="1">
      <alignment horizontal="center" vertical="center"/>
    </xf>
    <xf numFmtId="0" fontId="5" fillId="5" borderId="49" xfId="0" applyFont="1" applyFill="1" applyBorder="1" applyAlignment="1" applyProtection="1">
      <alignment horizontal="center" vertical="top" wrapText="1"/>
    </xf>
    <xf numFmtId="0" fontId="5" fillId="5" borderId="51" xfId="0" applyFont="1" applyFill="1" applyBorder="1" applyAlignment="1" applyProtection="1">
      <alignment horizontal="center" vertical="top" wrapText="1"/>
    </xf>
    <xf numFmtId="0" fontId="2" fillId="2" borderId="8"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2" fillId="0" borderId="0" xfId="0" applyNumberFormat="1" applyFont="1" applyFill="1" applyBorder="1" applyAlignment="1" applyProtection="1">
      <alignment horizontal="left" vertical="top" wrapText="1"/>
      <protection locked="0"/>
    </xf>
    <xf numFmtId="0" fontId="0" fillId="0" borderId="6" xfId="0" applyBorder="1" applyAlignment="1" applyProtection="1">
      <alignment horizontal="left" vertical="top" wrapText="1"/>
    </xf>
    <xf numFmtId="0" fontId="2" fillId="0" borderId="0"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0" xfId="0" applyBorder="1" applyAlignment="1" applyProtection="1">
      <alignment horizontal="left" wrapText="1"/>
    </xf>
    <xf numFmtId="0" fontId="0" fillId="0" borderId="6" xfId="0" applyBorder="1" applyAlignment="1" applyProtection="1">
      <alignment horizontal="left" wrapText="1"/>
    </xf>
    <xf numFmtId="0" fontId="2" fillId="0" borderId="0"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0" fillId="0" borderId="0"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0" xfId="0" applyFont="1" applyBorder="1" applyAlignment="1" applyProtection="1">
      <alignment vertical="center" wrapText="1"/>
    </xf>
    <xf numFmtId="0" fontId="2" fillId="0" borderId="6" xfId="0" applyFont="1" applyBorder="1" applyAlignment="1" applyProtection="1">
      <alignment vertical="center" wrapText="1"/>
    </xf>
    <xf numFmtId="0" fontId="2" fillId="0" borderId="0" xfId="0" applyFont="1" applyBorder="1" applyAlignment="1" applyProtection="1">
      <alignment vertical="top" wrapText="1"/>
    </xf>
    <xf numFmtId="0" fontId="2" fillId="0" borderId="6" xfId="0" applyFont="1" applyBorder="1" applyAlignment="1" applyProtection="1">
      <alignment vertical="top" wrapText="1"/>
    </xf>
    <xf numFmtId="0" fontId="26" fillId="0" borderId="38" xfId="0" applyFont="1" applyBorder="1" applyAlignment="1" applyProtection="1">
      <alignment horizontal="left" vertical="center" wrapText="1"/>
    </xf>
    <xf numFmtId="0" fontId="26" fillId="0" borderId="37" xfId="0" applyFont="1" applyBorder="1" applyAlignment="1" applyProtection="1">
      <alignment horizontal="left" vertical="center" wrapText="1"/>
    </xf>
    <xf numFmtId="0" fontId="2" fillId="0" borderId="0" xfId="0" applyFont="1" applyBorder="1" applyAlignment="1" applyProtection="1">
      <alignment horizontal="left" wrapText="1"/>
    </xf>
    <xf numFmtId="0" fontId="2" fillId="0" borderId="6" xfId="0" applyFont="1" applyBorder="1" applyAlignment="1" applyProtection="1">
      <alignment horizontal="left" wrapText="1"/>
    </xf>
    <xf numFmtId="0" fontId="2" fillId="0" borderId="0" xfId="0" applyFont="1" applyBorder="1" applyAlignment="1" applyProtection="1">
      <alignment horizontal="left" vertical="center"/>
    </xf>
    <xf numFmtId="0" fontId="2" fillId="0" borderId="6" xfId="0" applyFont="1" applyBorder="1" applyAlignment="1" applyProtection="1">
      <alignment horizontal="left" vertical="center"/>
    </xf>
    <xf numFmtId="0" fontId="4" fillId="5" borderId="0" xfId="0" applyFont="1" applyFill="1" applyAlignment="1" applyProtection="1">
      <alignment horizontal="center" vertical="center" wrapText="1"/>
    </xf>
    <xf numFmtId="0" fontId="9" fillId="0" borderId="0" xfId="0" applyFont="1" applyBorder="1" applyAlignment="1" applyProtection="1">
      <alignment horizontal="left" vertical="top" wrapText="1"/>
    </xf>
    <xf numFmtId="0" fontId="2" fillId="0" borderId="15"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28"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49"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5" fillId="5" borderId="0" xfId="0" applyFont="1" applyFill="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 fillId="0" borderId="41"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14" fillId="0" borderId="0" xfId="0" applyFont="1" applyBorder="1" applyAlignment="1" applyProtection="1">
      <alignment horizontal="left" vertical="top" wrapText="1"/>
    </xf>
    <xf numFmtId="0" fontId="14" fillId="0" borderId="6" xfId="0" applyFont="1" applyBorder="1" applyAlignment="1" applyProtection="1">
      <alignment horizontal="left" vertical="top" wrapText="1"/>
    </xf>
    <xf numFmtId="0" fontId="35" fillId="0" borderId="40" xfId="0" applyFont="1" applyBorder="1" applyAlignment="1">
      <alignment horizontal="center"/>
    </xf>
    <xf numFmtId="0" fontId="35" fillId="0" borderId="0" xfId="0" applyFont="1" applyBorder="1" applyAlignment="1">
      <alignment horizontal="center"/>
    </xf>
    <xf numFmtId="0" fontId="35" fillId="0" borderId="27" xfId="0" applyFont="1" applyBorder="1" applyAlignment="1">
      <alignment horizontal="center"/>
    </xf>
    <xf numFmtId="0" fontId="35" fillId="0" borderId="17" xfId="0" applyFont="1" applyBorder="1" applyAlignment="1">
      <alignment horizontal="center"/>
    </xf>
  </cellXfs>
  <cellStyles count="2">
    <cellStyle name="Hyperlink" xfId="1" builtinId="8"/>
    <cellStyle name="Normal" xfId="0" builtinId="0"/>
  </cellStyles>
  <dxfs count="30">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2" name="Line 4"/>
        <xdr:cNvSpPr>
          <a:spLocks noChangeShapeType="1"/>
        </xdr:cNvSpPr>
      </xdr:nvSpPr>
      <xdr:spPr bwMode="auto">
        <a:xfrm>
          <a:off x="4857750" y="2114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25</xdr:row>
      <xdr:rowOff>9525</xdr:rowOff>
    </xdr:from>
    <xdr:to>
      <xdr:col>10</xdr:col>
      <xdr:colOff>19050</xdr:colOff>
      <xdr:row>25</xdr:row>
      <xdr:rowOff>9525</xdr:rowOff>
    </xdr:to>
    <xdr:sp macro="" textlink="">
      <xdr:nvSpPr>
        <xdr:cNvPr id="3" name="Line 7"/>
        <xdr:cNvSpPr>
          <a:spLocks noChangeShapeType="1"/>
        </xdr:cNvSpPr>
      </xdr:nvSpPr>
      <xdr:spPr bwMode="auto">
        <a:xfrm>
          <a:off x="4867275" y="3743325"/>
          <a:ext cx="2762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10</xdr:row>
      <xdr:rowOff>0</xdr:rowOff>
    </xdr:from>
    <xdr:to>
      <xdr:col>17</xdr:col>
      <xdr:colOff>0</xdr:colOff>
      <xdr:row>10</xdr:row>
      <xdr:rowOff>0</xdr:rowOff>
    </xdr:to>
    <xdr:sp macro="" textlink="">
      <xdr:nvSpPr>
        <xdr:cNvPr id="4" name="Line 9"/>
        <xdr:cNvSpPr>
          <a:spLocks noChangeShapeType="1"/>
        </xdr:cNvSpPr>
      </xdr:nvSpPr>
      <xdr:spPr bwMode="auto">
        <a:xfrm>
          <a:off x="5133975" y="1304925"/>
          <a:ext cx="240030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27</xdr:row>
      <xdr:rowOff>0</xdr:rowOff>
    </xdr:from>
    <xdr:to>
      <xdr:col>12</xdr:col>
      <xdr:colOff>9525</xdr:colOff>
      <xdr:row>27</xdr:row>
      <xdr:rowOff>0</xdr:rowOff>
    </xdr:to>
    <xdr:sp macro="" textlink="">
      <xdr:nvSpPr>
        <xdr:cNvPr id="5" name="Line 10"/>
        <xdr:cNvSpPr>
          <a:spLocks noChangeShapeType="1"/>
        </xdr:cNvSpPr>
      </xdr:nvSpPr>
      <xdr:spPr bwMode="auto">
        <a:xfrm>
          <a:off x="5124450" y="4057650"/>
          <a:ext cx="514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9525</xdr:rowOff>
    </xdr:from>
    <xdr:to>
      <xdr:col>12</xdr:col>
      <xdr:colOff>0</xdr:colOff>
      <xdr:row>27</xdr:row>
      <xdr:rowOff>0</xdr:rowOff>
    </xdr:to>
    <xdr:sp macro="" textlink="">
      <xdr:nvSpPr>
        <xdr:cNvPr id="6" name="Line 12"/>
        <xdr:cNvSpPr>
          <a:spLocks noChangeShapeType="1"/>
        </xdr:cNvSpPr>
      </xdr:nvSpPr>
      <xdr:spPr bwMode="auto">
        <a:xfrm>
          <a:off x="5629275" y="3743325"/>
          <a:ext cx="0" cy="3143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25</xdr:row>
      <xdr:rowOff>9525</xdr:rowOff>
    </xdr:from>
    <xdr:to>
      <xdr:col>14</xdr:col>
      <xdr:colOff>15875</xdr:colOff>
      <xdr:row>25</xdr:row>
      <xdr:rowOff>15875</xdr:rowOff>
    </xdr:to>
    <xdr:sp macro="" textlink="">
      <xdr:nvSpPr>
        <xdr:cNvPr id="7" name="Line 14"/>
        <xdr:cNvSpPr>
          <a:spLocks noChangeShapeType="1"/>
        </xdr:cNvSpPr>
      </xdr:nvSpPr>
      <xdr:spPr bwMode="auto">
        <a:xfrm>
          <a:off x="5832475" y="4835525"/>
          <a:ext cx="2120900" cy="635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27</xdr:row>
      <xdr:rowOff>9525</xdr:rowOff>
    </xdr:from>
    <xdr:to>
      <xdr:col>14</xdr:col>
      <xdr:colOff>9525</xdr:colOff>
      <xdr:row>27</xdr:row>
      <xdr:rowOff>9525</xdr:rowOff>
    </xdr:to>
    <xdr:sp macro="" textlink="">
      <xdr:nvSpPr>
        <xdr:cNvPr id="8" name="Line 15"/>
        <xdr:cNvSpPr>
          <a:spLocks noChangeShapeType="1"/>
        </xdr:cNvSpPr>
      </xdr:nvSpPr>
      <xdr:spPr bwMode="auto">
        <a:xfrm>
          <a:off x="5629275" y="4067175"/>
          <a:ext cx="771525"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38</xdr:row>
      <xdr:rowOff>0</xdr:rowOff>
    </xdr:from>
    <xdr:to>
      <xdr:col>9</xdr:col>
      <xdr:colOff>266700</xdr:colOff>
      <xdr:row>38</xdr:row>
      <xdr:rowOff>0</xdr:rowOff>
    </xdr:to>
    <xdr:sp macro="" textlink="">
      <xdr:nvSpPr>
        <xdr:cNvPr id="9" name="Line 16"/>
        <xdr:cNvSpPr>
          <a:spLocks noChangeShapeType="1"/>
        </xdr:cNvSpPr>
      </xdr:nvSpPr>
      <xdr:spPr bwMode="auto">
        <a:xfrm>
          <a:off x="5124450" y="583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257175</xdr:colOff>
      <xdr:row>37</xdr:row>
      <xdr:rowOff>0</xdr:rowOff>
    </xdr:from>
    <xdr:to>
      <xdr:col>16</xdr:col>
      <xdr:colOff>361950</xdr:colOff>
      <xdr:row>37</xdr:row>
      <xdr:rowOff>0</xdr:rowOff>
    </xdr:to>
    <xdr:sp macro="" textlink="">
      <xdr:nvSpPr>
        <xdr:cNvPr id="10" name="Line 17"/>
        <xdr:cNvSpPr>
          <a:spLocks noChangeShapeType="1"/>
        </xdr:cNvSpPr>
      </xdr:nvSpPr>
      <xdr:spPr bwMode="auto">
        <a:xfrm>
          <a:off x="5114925" y="5676900"/>
          <a:ext cx="240030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9</xdr:col>
      <xdr:colOff>0</xdr:colOff>
      <xdr:row>28</xdr:row>
      <xdr:rowOff>0</xdr:rowOff>
    </xdr:to>
    <xdr:sp macro="" textlink="">
      <xdr:nvSpPr>
        <xdr:cNvPr id="11" name="Line 18"/>
        <xdr:cNvSpPr>
          <a:spLocks noChangeShapeType="1"/>
        </xdr:cNvSpPr>
      </xdr:nvSpPr>
      <xdr:spPr bwMode="auto">
        <a:xfrm>
          <a:off x="4476750" y="4219575"/>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9525</xdr:rowOff>
    </xdr:from>
    <xdr:to>
      <xdr:col>11</xdr:col>
      <xdr:colOff>0</xdr:colOff>
      <xdr:row>28</xdr:row>
      <xdr:rowOff>9525</xdr:rowOff>
    </xdr:to>
    <xdr:sp macro="" textlink="">
      <xdr:nvSpPr>
        <xdr:cNvPr id="12" name="Line 19"/>
        <xdr:cNvSpPr>
          <a:spLocks noChangeShapeType="1"/>
        </xdr:cNvSpPr>
      </xdr:nvSpPr>
      <xdr:spPr bwMode="auto">
        <a:xfrm>
          <a:off x="4857750" y="4229100"/>
          <a:ext cx="533400"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11</xdr:col>
      <xdr:colOff>0</xdr:colOff>
      <xdr:row>26</xdr:row>
      <xdr:rowOff>66675</xdr:rowOff>
    </xdr:to>
    <xdr:sp macro="" textlink="">
      <xdr:nvSpPr>
        <xdr:cNvPr id="13" name="Line 20"/>
        <xdr:cNvSpPr>
          <a:spLocks noChangeShapeType="1"/>
        </xdr:cNvSpPr>
      </xdr:nvSpPr>
      <xdr:spPr bwMode="auto">
        <a:xfrm>
          <a:off x="5391150" y="1466850"/>
          <a:ext cx="0" cy="249555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17</xdr:col>
      <xdr:colOff>0</xdr:colOff>
      <xdr:row>11</xdr:row>
      <xdr:rowOff>0</xdr:rowOff>
    </xdr:to>
    <xdr:sp macro="" textlink="">
      <xdr:nvSpPr>
        <xdr:cNvPr id="14" name="Line 22"/>
        <xdr:cNvSpPr>
          <a:spLocks noChangeShapeType="1"/>
        </xdr:cNvSpPr>
      </xdr:nvSpPr>
      <xdr:spPr bwMode="auto">
        <a:xfrm>
          <a:off x="5391150" y="1466850"/>
          <a:ext cx="2143125"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23</xdr:row>
      <xdr:rowOff>0</xdr:rowOff>
    </xdr:from>
    <xdr:to>
      <xdr:col>14</xdr:col>
      <xdr:colOff>0</xdr:colOff>
      <xdr:row>23</xdr:row>
      <xdr:rowOff>0</xdr:rowOff>
    </xdr:to>
    <xdr:sp macro="" textlink="">
      <xdr:nvSpPr>
        <xdr:cNvPr id="15" name="Line 23"/>
        <xdr:cNvSpPr>
          <a:spLocks noChangeShapeType="1"/>
        </xdr:cNvSpPr>
      </xdr:nvSpPr>
      <xdr:spPr bwMode="auto">
        <a:xfrm>
          <a:off x="5400675" y="3409950"/>
          <a:ext cx="99060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29</xdr:row>
      <xdr:rowOff>9525</xdr:rowOff>
    </xdr:from>
    <xdr:to>
      <xdr:col>14</xdr:col>
      <xdr:colOff>19050</xdr:colOff>
      <xdr:row>29</xdr:row>
      <xdr:rowOff>19050</xdr:rowOff>
    </xdr:to>
    <xdr:sp macro="" textlink="">
      <xdr:nvSpPr>
        <xdr:cNvPr id="16" name="Line 24"/>
        <xdr:cNvSpPr>
          <a:spLocks noChangeShapeType="1"/>
        </xdr:cNvSpPr>
      </xdr:nvSpPr>
      <xdr:spPr bwMode="auto">
        <a:xfrm flipV="1">
          <a:off x="5400675" y="4391025"/>
          <a:ext cx="1009650" cy="9525"/>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257175</xdr:colOff>
      <xdr:row>34</xdr:row>
      <xdr:rowOff>152400</xdr:rowOff>
    </xdr:from>
    <xdr:to>
      <xdr:col>16</xdr:col>
      <xdr:colOff>371475</xdr:colOff>
      <xdr:row>34</xdr:row>
      <xdr:rowOff>152400</xdr:rowOff>
    </xdr:to>
    <xdr:sp macro="" textlink="">
      <xdr:nvSpPr>
        <xdr:cNvPr id="17" name="Line 25"/>
        <xdr:cNvSpPr>
          <a:spLocks noChangeShapeType="1"/>
        </xdr:cNvSpPr>
      </xdr:nvSpPr>
      <xdr:spPr bwMode="auto">
        <a:xfrm>
          <a:off x="5381625" y="5343525"/>
          <a:ext cx="2143125"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9</xdr:col>
      <xdr:colOff>0</xdr:colOff>
      <xdr:row>13</xdr:row>
      <xdr:rowOff>0</xdr:rowOff>
    </xdr:to>
    <xdr:sp macro="" textlink="">
      <xdr:nvSpPr>
        <xdr:cNvPr id="18" name="Line 27"/>
        <xdr:cNvSpPr>
          <a:spLocks noChangeShapeType="1"/>
        </xdr:cNvSpPr>
      </xdr:nvSpPr>
      <xdr:spPr bwMode="auto">
        <a:xfrm>
          <a:off x="4476750" y="1790700"/>
          <a:ext cx="38100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13</xdr:row>
      <xdr:rowOff>0</xdr:rowOff>
    </xdr:from>
    <xdr:to>
      <xdr:col>9</xdr:col>
      <xdr:colOff>266700</xdr:colOff>
      <xdr:row>13</xdr:row>
      <xdr:rowOff>0</xdr:rowOff>
    </xdr:to>
    <xdr:sp macro="" textlink="">
      <xdr:nvSpPr>
        <xdr:cNvPr id="19" name="Line 29"/>
        <xdr:cNvSpPr>
          <a:spLocks noChangeShapeType="1"/>
        </xdr:cNvSpPr>
      </xdr:nvSpPr>
      <xdr:spPr bwMode="auto">
        <a:xfrm>
          <a:off x="4886325" y="1790700"/>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13</xdr:row>
      <xdr:rowOff>0</xdr:rowOff>
    </xdr:from>
    <xdr:to>
      <xdr:col>10</xdr:col>
      <xdr:colOff>266700</xdr:colOff>
      <xdr:row>13</xdr:row>
      <xdr:rowOff>0</xdr:rowOff>
    </xdr:to>
    <xdr:sp macro="" textlink="">
      <xdr:nvSpPr>
        <xdr:cNvPr id="20" name="Line 30"/>
        <xdr:cNvSpPr>
          <a:spLocks noChangeShapeType="1"/>
        </xdr:cNvSpPr>
      </xdr:nvSpPr>
      <xdr:spPr bwMode="auto">
        <a:xfrm>
          <a:off x="5172075" y="1790700"/>
          <a:ext cx="219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13</xdr:row>
      <xdr:rowOff>0</xdr:rowOff>
    </xdr:from>
    <xdr:to>
      <xdr:col>16</xdr:col>
      <xdr:colOff>371475</xdr:colOff>
      <xdr:row>13</xdr:row>
      <xdr:rowOff>0</xdr:rowOff>
    </xdr:to>
    <xdr:sp macro="" textlink="">
      <xdr:nvSpPr>
        <xdr:cNvPr id="21" name="Line 32"/>
        <xdr:cNvSpPr>
          <a:spLocks noChangeShapeType="1"/>
        </xdr:cNvSpPr>
      </xdr:nvSpPr>
      <xdr:spPr bwMode="auto">
        <a:xfrm>
          <a:off x="5476875" y="1790700"/>
          <a:ext cx="2047875"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16</xdr:row>
      <xdr:rowOff>0</xdr:rowOff>
    </xdr:from>
    <xdr:to>
      <xdr:col>15</xdr:col>
      <xdr:colOff>0</xdr:colOff>
      <xdr:row>21</xdr:row>
      <xdr:rowOff>152400</xdr:rowOff>
    </xdr:to>
    <xdr:sp macro="" textlink="">
      <xdr:nvSpPr>
        <xdr:cNvPr id="22" name="Line 37"/>
        <xdr:cNvSpPr>
          <a:spLocks noChangeShapeType="1"/>
        </xdr:cNvSpPr>
      </xdr:nvSpPr>
      <xdr:spPr bwMode="auto">
        <a:xfrm>
          <a:off x="6772275" y="2276475"/>
          <a:ext cx="0" cy="962025"/>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228600</xdr:colOff>
      <xdr:row>14</xdr:row>
      <xdr:rowOff>28575</xdr:rowOff>
    </xdr:from>
    <xdr:to>
      <xdr:col>18</xdr:col>
      <xdr:colOff>228600</xdr:colOff>
      <xdr:row>16</xdr:row>
      <xdr:rowOff>28575</xdr:rowOff>
    </xdr:to>
    <xdr:sp macro="" textlink="">
      <xdr:nvSpPr>
        <xdr:cNvPr id="23" name="Line 38"/>
        <xdr:cNvSpPr>
          <a:spLocks noChangeShapeType="1"/>
        </xdr:cNvSpPr>
      </xdr:nvSpPr>
      <xdr:spPr bwMode="auto">
        <a:xfrm>
          <a:off x="8143875" y="1981200"/>
          <a:ext cx="0" cy="32385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161925</xdr:colOff>
      <xdr:row>15</xdr:row>
      <xdr:rowOff>152400</xdr:rowOff>
    </xdr:from>
    <xdr:to>
      <xdr:col>24</xdr:col>
      <xdr:colOff>161925</xdr:colOff>
      <xdr:row>23</xdr:row>
      <xdr:rowOff>133350</xdr:rowOff>
    </xdr:to>
    <xdr:sp macro="" textlink="">
      <xdr:nvSpPr>
        <xdr:cNvPr id="24" name="Line 40"/>
        <xdr:cNvSpPr>
          <a:spLocks noChangeShapeType="1"/>
        </xdr:cNvSpPr>
      </xdr:nvSpPr>
      <xdr:spPr bwMode="auto">
        <a:xfrm>
          <a:off x="10363200" y="2266950"/>
          <a:ext cx="0" cy="127635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219075</xdr:colOff>
      <xdr:row>16</xdr:row>
      <xdr:rowOff>0</xdr:rowOff>
    </xdr:from>
    <xdr:to>
      <xdr:col>17</xdr:col>
      <xdr:colOff>228600</xdr:colOff>
      <xdr:row>34</xdr:row>
      <xdr:rowOff>0</xdr:rowOff>
    </xdr:to>
    <xdr:sp macro="" textlink="">
      <xdr:nvSpPr>
        <xdr:cNvPr id="25" name="Line 42"/>
        <xdr:cNvSpPr>
          <a:spLocks noChangeShapeType="1"/>
        </xdr:cNvSpPr>
      </xdr:nvSpPr>
      <xdr:spPr bwMode="auto">
        <a:xfrm flipH="1">
          <a:off x="7753350" y="2276475"/>
          <a:ext cx="9525" cy="2914650"/>
        </a:xfrm>
        <a:prstGeom prst="line">
          <a:avLst/>
        </a:prstGeom>
        <a:noFill/>
        <a:ln w="9525">
          <a:solidFill>
            <a:srgbClr val="000000"/>
          </a:solidFill>
          <a:prstDash val="lgDashDot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19</xdr:row>
      <xdr:rowOff>9525</xdr:rowOff>
    </xdr:from>
    <xdr:to>
      <xdr:col>23</xdr:col>
      <xdr:colOff>0</xdr:colOff>
      <xdr:row>19</xdr:row>
      <xdr:rowOff>9525</xdr:rowOff>
    </xdr:to>
    <xdr:sp macro="" textlink="">
      <xdr:nvSpPr>
        <xdr:cNvPr id="26" name="Line 43"/>
        <xdr:cNvSpPr>
          <a:spLocks noChangeShapeType="1"/>
        </xdr:cNvSpPr>
      </xdr:nvSpPr>
      <xdr:spPr bwMode="auto">
        <a:xfrm>
          <a:off x="7153275" y="2771775"/>
          <a:ext cx="26670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19</xdr:row>
      <xdr:rowOff>9525</xdr:rowOff>
    </xdr:from>
    <xdr:to>
      <xdr:col>16</xdr:col>
      <xdr:colOff>0</xdr:colOff>
      <xdr:row>21</xdr:row>
      <xdr:rowOff>152400</xdr:rowOff>
    </xdr:to>
    <xdr:sp macro="" textlink="">
      <xdr:nvSpPr>
        <xdr:cNvPr id="27" name="Line 44"/>
        <xdr:cNvSpPr>
          <a:spLocks noChangeShapeType="1"/>
        </xdr:cNvSpPr>
      </xdr:nvSpPr>
      <xdr:spPr bwMode="auto">
        <a:xfrm>
          <a:off x="7153275" y="2771775"/>
          <a:ext cx="0" cy="46672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0</xdr:colOff>
      <xdr:row>19</xdr:row>
      <xdr:rowOff>9525</xdr:rowOff>
    </xdr:from>
    <xdr:to>
      <xdr:col>23</xdr:col>
      <xdr:colOff>0</xdr:colOff>
      <xdr:row>23</xdr:row>
      <xdr:rowOff>152400</xdr:rowOff>
    </xdr:to>
    <xdr:sp macro="" textlink="">
      <xdr:nvSpPr>
        <xdr:cNvPr id="28" name="Line 45"/>
        <xdr:cNvSpPr>
          <a:spLocks noChangeShapeType="1"/>
        </xdr:cNvSpPr>
      </xdr:nvSpPr>
      <xdr:spPr bwMode="auto">
        <a:xfrm>
          <a:off x="9820275" y="2771775"/>
          <a:ext cx="0" cy="7905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14</xdr:row>
      <xdr:rowOff>9525</xdr:rowOff>
    </xdr:from>
    <xdr:to>
      <xdr:col>20</xdr:col>
      <xdr:colOff>0</xdr:colOff>
      <xdr:row>15</xdr:row>
      <xdr:rowOff>85725</xdr:rowOff>
    </xdr:to>
    <xdr:sp macro="" textlink="">
      <xdr:nvSpPr>
        <xdr:cNvPr id="29" name="Line 46"/>
        <xdr:cNvSpPr>
          <a:spLocks noChangeShapeType="1"/>
        </xdr:cNvSpPr>
      </xdr:nvSpPr>
      <xdr:spPr bwMode="auto">
        <a:xfrm>
          <a:off x="8677275" y="1962150"/>
          <a:ext cx="0" cy="238125"/>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16</xdr:row>
      <xdr:rowOff>47625</xdr:rowOff>
    </xdr:from>
    <xdr:to>
      <xdr:col>20</xdr:col>
      <xdr:colOff>0</xdr:colOff>
      <xdr:row>18</xdr:row>
      <xdr:rowOff>152400</xdr:rowOff>
    </xdr:to>
    <xdr:sp macro="" textlink="">
      <xdr:nvSpPr>
        <xdr:cNvPr id="30" name="Line 47"/>
        <xdr:cNvSpPr>
          <a:spLocks noChangeShapeType="1"/>
        </xdr:cNvSpPr>
      </xdr:nvSpPr>
      <xdr:spPr bwMode="auto">
        <a:xfrm>
          <a:off x="8677275" y="2324100"/>
          <a:ext cx="0" cy="428625"/>
        </a:xfrm>
        <a:prstGeom prst="line">
          <a:avLst/>
        </a:prstGeom>
        <a:noFill/>
        <a:ln w="9525">
          <a:solidFill>
            <a:srgbClr val="000000"/>
          </a:solidFill>
          <a:prstDash val="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19</xdr:row>
      <xdr:rowOff>9525</xdr:rowOff>
    </xdr:from>
    <xdr:to>
      <xdr:col>19</xdr:col>
      <xdr:colOff>0</xdr:colOff>
      <xdr:row>34</xdr:row>
      <xdr:rowOff>0</xdr:rowOff>
    </xdr:to>
    <xdr:sp macro="" textlink="">
      <xdr:nvSpPr>
        <xdr:cNvPr id="31" name="Line 48"/>
        <xdr:cNvSpPr>
          <a:spLocks noChangeShapeType="1"/>
        </xdr:cNvSpPr>
      </xdr:nvSpPr>
      <xdr:spPr bwMode="auto">
        <a:xfrm>
          <a:off x="8296275" y="2771775"/>
          <a:ext cx="0" cy="2419350"/>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30</xdr:row>
      <xdr:rowOff>104775</xdr:rowOff>
    </xdr:from>
    <xdr:to>
      <xdr:col>28</xdr:col>
      <xdr:colOff>0</xdr:colOff>
      <xdr:row>30</xdr:row>
      <xdr:rowOff>104775</xdr:rowOff>
    </xdr:to>
    <xdr:sp macro="" textlink="">
      <xdr:nvSpPr>
        <xdr:cNvPr id="32" name="Line 55"/>
        <xdr:cNvSpPr>
          <a:spLocks noChangeShapeType="1"/>
        </xdr:cNvSpPr>
      </xdr:nvSpPr>
      <xdr:spPr bwMode="auto">
        <a:xfrm>
          <a:off x="10944225" y="4648200"/>
          <a:ext cx="914400" cy="0"/>
        </a:xfrm>
        <a:prstGeom prst="line">
          <a:avLst/>
        </a:prstGeom>
        <a:noFill/>
        <a:ln w="127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295275</xdr:colOff>
      <xdr:row>30</xdr:row>
      <xdr:rowOff>104775</xdr:rowOff>
    </xdr:from>
    <xdr:to>
      <xdr:col>19</xdr:col>
      <xdr:colOff>295275</xdr:colOff>
      <xdr:row>33</xdr:row>
      <xdr:rowOff>152400</xdr:rowOff>
    </xdr:to>
    <xdr:sp macro="" textlink="">
      <xdr:nvSpPr>
        <xdr:cNvPr id="33" name="Line 57"/>
        <xdr:cNvSpPr>
          <a:spLocks noChangeShapeType="1"/>
        </xdr:cNvSpPr>
      </xdr:nvSpPr>
      <xdr:spPr bwMode="auto">
        <a:xfrm>
          <a:off x="8591550" y="4648200"/>
          <a:ext cx="0" cy="533400"/>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200025</xdr:colOff>
      <xdr:row>16</xdr:row>
      <xdr:rowOff>0</xdr:rowOff>
    </xdr:to>
    <xdr:sp macro="" textlink="">
      <xdr:nvSpPr>
        <xdr:cNvPr id="34" name="Line 70"/>
        <xdr:cNvSpPr>
          <a:spLocks noChangeShapeType="1"/>
        </xdr:cNvSpPr>
      </xdr:nvSpPr>
      <xdr:spPr bwMode="auto">
        <a:xfrm>
          <a:off x="4857750" y="2276475"/>
          <a:ext cx="2000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16</xdr:row>
      <xdr:rowOff>0</xdr:rowOff>
    </xdr:from>
    <xdr:to>
      <xdr:col>10</xdr:col>
      <xdr:colOff>200025</xdr:colOff>
      <xdr:row>16</xdr:row>
      <xdr:rowOff>0</xdr:rowOff>
    </xdr:to>
    <xdr:sp macro="" textlink="">
      <xdr:nvSpPr>
        <xdr:cNvPr id="35" name="Line 72"/>
        <xdr:cNvSpPr>
          <a:spLocks noChangeShapeType="1"/>
        </xdr:cNvSpPr>
      </xdr:nvSpPr>
      <xdr:spPr bwMode="auto">
        <a:xfrm>
          <a:off x="5162550" y="2276475"/>
          <a:ext cx="1619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12</xdr:col>
      <xdr:colOff>38100</xdr:colOff>
      <xdr:row>16</xdr:row>
      <xdr:rowOff>0</xdr:rowOff>
    </xdr:from>
    <xdr:to>
      <xdr:col>24</xdr:col>
      <xdr:colOff>171450</xdr:colOff>
      <xdr:row>16</xdr:row>
      <xdr:rowOff>0</xdr:rowOff>
    </xdr:to>
    <xdr:sp macro="" textlink="">
      <xdr:nvSpPr>
        <xdr:cNvPr id="36" name="Line 73"/>
        <xdr:cNvSpPr>
          <a:spLocks noChangeShapeType="1"/>
        </xdr:cNvSpPr>
      </xdr:nvSpPr>
      <xdr:spPr bwMode="auto">
        <a:xfrm>
          <a:off x="5667375" y="2276475"/>
          <a:ext cx="47053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19</xdr:row>
      <xdr:rowOff>0</xdr:rowOff>
    </xdr:from>
    <xdr:to>
      <xdr:col>9</xdr:col>
      <xdr:colOff>219075</xdr:colOff>
      <xdr:row>19</xdr:row>
      <xdr:rowOff>0</xdr:rowOff>
    </xdr:to>
    <xdr:sp macro="" textlink="">
      <xdr:nvSpPr>
        <xdr:cNvPr id="37" name="Line 74"/>
        <xdr:cNvSpPr>
          <a:spLocks noChangeShapeType="1"/>
        </xdr:cNvSpPr>
      </xdr:nvSpPr>
      <xdr:spPr bwMode="auto">
        <a:xfrm>
          <a:off x="4867275" y="2762250"/>
          <a:ext cx="20955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19</xdr:row>
      <xdr:rowOff>0</xdr:rowOff>
    </xdr:from>
    <xdr:to>
      <xdr:col>10</xdr:col>
      <xdr:colOff>228600</xdr:colOff>
      <xdr:row>19</xdr:row>
      <xdr:rowOff>0</xdr:rowOff>
    </xdr:to>
    <xdr:sp macro="" textlink="">
      <xdr:nvSpPr>
        <xdr:cNvPr id="38" name="Line 75"/>
        <xdr:cNvSpPr>
          <a:spLocks noChangeShapeType="1"/>
        </xdr:cNvSpPr>
      </xdr:nvSpPr>
      <xdr:spPr bwMode="auto">
        <a:xfrm>
          <a:off x="5162550" y="2762250"/>
          <a:ext cx="1905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19</xdr:row>
      <xdr:rowOff>0</xdr:rowOff>
    </xdr:from>
    <xdr:to>
      <xdr:col>16</xdr:col>
      <xdr:colOff>0</xdr:colOff>
      <xdr:row>19</xdr:row>
      <xdr:rowOff>0</xdr:rowOff>
    </xdr:to>
    <xdr:sp macro="" textlink="">
      <xdr:nvSpPr>
        <xdr:cNvPr id="39" name="Line 76"/>
        <xdr:cNvSpPr>
          <a:spLocks noChangeShapeType="1"/>
        </xdr:cNvSpPr>
      </xdr:nvSpPr>
      <xdr:spPr bwMode="auto">
        <a:xfrm>
          <a:off x="5457825" y="2762250"/>
          <a:ext cx="169545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16</xdr:row>
      <xdr:rowOff>0</xdr:rowOff>
    </xdr:from>
    <xdr:to>
      <xdr:col>8</xdr:col>
      <xdr:colOff>352425</xdr:colOff>
      <xdr:row>16</xdr:row>
      <xdr:rowOff>0</xdr:rowOff>
    </xdr:to>
    <xdr:sp macro="" textlink="">
      <xdr:nvSpPr>
        <xdr:cNvPr id="40" name="Line 77"/>
        <xdr:cNvSpPr>
          <a:spLocks noChangeShapeType="1"/>
        </xdr:cNvSpPr>
      </xdr:nvSpPr>
      <xdr:spPr bwMode="auto">
        <a:xfrm>
          <a:off x="4486275" y="2276475"/>
          <a:ext cx="3429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19</xdr:row>
      <xdr:rowOff>0</xdr:rowOff>
    </xdr:from>
    <xdr:to>
      <xdr:col>8</xdr:col>
      <xdr:colOff>371475</xdr:colOff>
      <xdr:row>19</xdr:row>
      <xdr:rowOff>0</xdr:rowOff>
    </xdr:to>
    <xdr:sp macro="" textlink="">
      <xdr:nvSpPr>
        <xdr:cNvPr id="41" name="Line 78"/>
        <xdr:cNvSpPr>
          <a:spLocks noChangeShapeType="1"/>
        </xdr:cNvSpPr>
      </xdr:nvSpPr>
      <xdr:spPr bwMode="auto">
        <a:xfrm>
          <a:off x="4486275" y="2762250"/>
          <a:ext cx="3619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47625</xdr:colOff>
      <xdr:row>16</xdr:row>
      <xdr:rowOff>0</xdr:rowOff>
    </xdr:from>
    <xdr:to>
      <xdr:col>12</xdr:col>
      <xdr:colOff>9525</xdr:colOff>
      <xdr:row>16</xdr:row>
      <xdr:rowOff>0</xdr:rowOff>
    </xdr:to>
    <xdr:sp macro="" textlink="">
      <xdr:nvSpPr>
        <xdr:cNvPr id="42" name="Line 79"/>
        <xdr:cNvSpPr>
          <a:spLocks noChangeShapeType="1"/>
        </xdr:cNvSpPr>
      </xdr:nvSpPr>
      <xdr:spPr bwMode="auto">
        <a:xfrm>
          <a:off x="5438775" y="2276475"/>
          <a:ext cx="200025"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10</xdr:row>
      <xdr:rowOff>9525</xdr:rowOff>
    </xdr:from>
    <xdr:to>
      <xdr:col>10</xdr:col>
      <xdr:colOff>0</xdr:colOff>
      <xdr:row>36</xdr:row>
      <xdr:rowOff>152400</xdr:rowOff>
    </xdr:to>
    <xdr:sp macro="" textlink="">
      <xdr:nvSpPr>
        <xdr:cNvPr id="43" name="Line 81"/>
        <xdr:cNvSpPr>
          <a:spLocks noChangeShapeType="1"/>
        </xdr:cNvSpPr>
      </xdr:nvSpPr>
      <xdr:spPr bwMode="auto">
        <a:xfrm>
          <a:off x="5124450" y="1314450"/>
          <a:ext cx="0" cy="43529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76200</xdr:colOff>
      <xdr:row>30</xdr:row>
      <xdr:rowOff>104775</xdr:rowOff>
    </xdr:from>
    <xdr:to>
      <xdr:col>25</xdr:col>
      <xdr:colOff>333375</xdr:colOff>
      <xdr:row>30</xdr:row>
      <xdr:rowOff>104775</xdr:rowOff>
    </xdr:to>
    <xdr:sp macro="" textlink="">
      <xdr:nvSpPr>
        <xdr:cNvPr id="44" name="Line 85"/>
        <xdr:cNvSpPr>
          <a:spLocks noChangeShapeType="1"/>
        </xdr:cNvSpPr>
      </xdr:nvSpPr>
      <xdr:spPr bwMode="auto">
        <a:xfrm>
          <a:off x="8372475" y="4648200"/>
          <a:ext cx="2543175"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30</xdr:row>
      <xdr:rowOff>85725</xdr:rowOff>
    </xdr:from>
    <xdr:to>
      <xdr:col>17</xdr:col>
      <xdr:colOff>180975</xdr:colOff>
      <xdr:row>30</xdr:row>
      <xdr:rowOff>85725</xdr:rowOff>
    </xdr:to>
    <xdr:sp macro="" textlink="">
      <xdr:nvSpPr>
        <xdr:cNvPr id="45" name="Line 87"/>
        <xdr:cNvSpPr>
          <a:spLocks noChangeShapeType="1"/>
        </xdr:cNvSpPr>
      </xdr:nvSpPr>
      <xdr:spPr bwMode="auto">
        <a:xfrm>
          <a:off x="7524750" y="4629150"/>
          <a:ext cx="190500"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254793</xdr:colOff>
      <xdr:row>30</xdr:row>
      <xdr:rowOff>85725</xdr:rowOff>
    </xdr:from>
    <xdr:to>
      <xdr:col>18</xdr:col>
      <xdr:colOff>330993</xdr:colOff>
      <xdr:row>30</xdr:row>
      <xdr:rowOff>85725</xdr:rowOff>
    </xdr:to>
    <xdr:sp macro="" textlink="">
      <xdr:nvSpPr>
        <xdr:cNvPr id="46" name="Line 88"/>
        <xdr:cNvSpPr>
          <a:spLocks noChangeShapeType="1"/>
        </xdr:cNvSpPr>
      </xdr:nvSpPr>
      <xdr:spPr bwMode="auto">
        <a:xfrm>
          <a:off x="10029824" y="5872163"/>
          <a:ext cx="683419"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26</xdr:row>
      <xdr:rowOff>0</xdr:rowOff>
    </xdr:from>
    <xdr:to>
      <xdr:col>21</xdr:col>
      <xdr:colOff>0</xdr:colOff>
      <xdr:row>30</xdr:row>
      <xdr:rowOff>104775</xdr:rowOff>
    </xdr:to>
    <xdr:sp macro="" textlink="">
      <xdr:nvSpPr>
        <xdr:cNvPr id="47" name="Line 89"/>
        <xdr:cNvSpPr>
          <a:spLocks noChangeShapeType="1"/>
        </xdr:cNvSpPr>
      </xdr:nvSpPr>
      <xdr:spPr bwMode="auto">
        <a:xfrm>
          <a:off x="9058275" y="3895725"/>
          <a:ext cx="0" cy="752475"/>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26</xdr:row>
      <xdr:rowOff>0</xdr:rowOff>
    </xdr:from>
    <xdr:to>
      <xdr:col>22</xdr:col>
      <xdr:colOff>9525</xdr:colOff>
      <xdr:row>26</xdr:row>
      <xdr:rowOff>0</xdr:rowOff>
    </xdr:to>
    <xdr:sp macro="" textlink="">
      <xdr:nvSpPr>
        <xdr:cNvPr id="48" name="Line 90"/>
        <xdr:cNvSpPr>
          <a:spLocks noChangeShapeType="1"/>
        </xdr:cNvSpPr>
      </xdr:nvSpPr>
      <xdr:spPr bwMode="auto">
        <a:xfrm>
          <a:off x="9058275" y="3895725"/>
          <a:ext cx="390525" cy="0"/>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9525</xdr:colOff>
      <xdr:row>26</xdr:row>
      <xdr:rowOff>0</xdr:rowOff>
    </xdr:from>
    <xdr:to>
      <xdr:col>25</xdr:col>
      <xdr:colOff>352425</xdr:colOff>
      <xdr:row>26</xdr:row>
      <xdr:rowOff>0</xdr:rowOff>
    </xdr:to>
    <xdr:sp macro="" textlink="">
      <xdr:nvSpPr>
        <xdr:cNvPr id="49" name="Line 91"/>
        <xdr:cNvSpPr>
          <a:spLocks noChangeShapeType="1"/>
        </xdr:cNvSpPr>
      </xdr:nvSpPr>
      <xdr:spPr bwMode="auto">
        <a:xfrm>
          <a:off x="10591800" y="3895725"/>
          <a:ext cx="342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26</xdr:row>
      <xdr:rowOff>0</xdr:rowOff>
    </xdr:from>
    <xdr:to>
      <xdr:col>27</xdr:col>
      <xdr:colOff>523875</xdr:colOff>
      <xdr:row>26</xdr:row>
      <xdr:rowOff>0</xdr:rowOff>
    </xdr:to>
    <xdr:sp macro="" textlink="">
      <xdr:nvSpPr>
        <xdr:cNvPr id="50" name="Line 92"/>
        <xdr:cNvSpPr>
          <a:spLocks noChangeShapeType="1"/>
        </xdr:cNvSpPr>
      </xdr:nvSpPr>
      <xdr:spPr bwMode="auto">
        <a:xfrm>
          <a:off x="10944225" y="3895725"/>
          <a:ext cx="9048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27</xdr:row>
      <xdr:rowOff>66675</xdr:rowOff>
    </xdr:from>
    <xdr:to>
      <xdr:col>11</xdr:col>
      <xdr:colOff>0</xdr:colOff>
      <xdr:row>34</xdr:row>
      <xdr:rowOff>152400</xdr:rowOff>
    </xdr:to>
    <xdr:sp macro="" textlink="">
      <xdr:nvSpPr>
        <xdr:cNvPr id="51" name="Line 93"/>
        <xdr:cNvSpPr>
          <a:spLocks noChangeShapeType="1"/>
        </xdr:cNvSpPr>
      </xdr:nvSpPr>
      <xdr:spPr bwMode="auto">
        <a:xfrm>
          <a:off x="5391150" y="4124325"/>
          <a:ext cx="0" cy="121920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25</xdr:row>
      <xdr:rowOff>9525</xdr:rowOff>
    </xdr:from>
    <xdr:to>
      <xdr:col>8</xdr:col>
      <xdr:colOff>371475</xdr:colOff>
      <xdr:row>25</xdr:row>
      <xdr:rowOff>9525</xdr:rowOff>
    </xdr:to>
    <xdr:sp macro="" textlink="">
      <xdr:nvSpPr>
        <xdr:cNvPr id="52" name="Line 94"/>
        <xdr:cNvSpPr>
          <a:spLocks noChangeShapeType="1"/>
        </xdr:cNvSpPr>
      </xdr:nvSpPr>
      <xdr:spPr bwMode="auto">
        <a:xfrm>
          <a:off x="4476750" y="3743325"/>
          <a:ext cx="3714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381000</xdr:colOff>
      <xdr:row>16</xdr:row>
      <xdr:rowOff>85725</xdr:rowOff>
    </xdr:from>
    <xdr:to>
      <xdr:col>29</xdr:col>
      <xdr:colOff>0</xdr:colOff>
      <xdr:row>16</xdr:row>
      <xdr:rowOff>85725</xdr:rowOff>
    </xdr:to>
    <xdr:cxnSp macro="">
      <xdr:nvCxnSpPr>
        <xdr:cNvPr id="53" name="Straight Arrow Connector 2"/>
        <xdr:cNvCxnSpPr>
          <a:cxnSpLocks noChangeShapeType="1"/>
        </xdr:cNvCxnSpPr>
      </xdr:nvCxnSpPr>
      <xdr:spPr bwMode="auto">
        <a:xfrm>
          <a:off x="11706225" y="2362200"/>
          <a:ext cx="533400" cy="0"/>
        </a:xfrm>
        <a:prstGeom prst="straightConnector1">
          <a:avLst/>
        </a:prstGeom>
        <a:noFill/>
        <a:ln w="9525" algn="ctr">
          <a:solidFill>
            <a:srgbClr val="000000"/>
          </a:solidFill>
          <a:round/>
          <a:headEnd/>
          <a:tailEnd type="arrow" w="med" len="med"/>
        </a:ln>
      </xdr:spPr>
    </xdr:cxnSp>
    <xdr:clientData/>
  </xdr:twoCellAnchor>
  <xdr:twoCellAnchor>
    <xdr:from>
      <xdr:col>26</xdr:col>
      <xdr:colOff>28575</xdr:colOff>
      <xdr:row>16</xdr:row>
      <xdr:rowOff>85725</xdr:rowOff>
    </xdr:from>
    <xdr:to>
      <xdr:col>27</xdr:col>
      <xdr:colOff>447675</xdr:colOff>
      <xdr:row>16</xdr:row>
      <xdr:rowOff>85725</xdr:rowOff>
    </xdr:to>
    <xdr:cxnSp macro="">
      <xdr:nvCxnSpPr>
        <xdr:cNvPr id="54" name="Straight Arrow Connector 4"/>
        <xdr:cNvCxnSpPr>
          <a:cxnSpLocks noChangeShapeType="1"/>
        </xdr:cNvCxnSpPr>
      </xdr:nvCxnSpPr>
      <xdr:spPr bwMode="auto">
        <a:xfrm flipH="1">
          <a:off x="10972800" y="2362200"/>
          <a:ext cx="800100" cy="0"/>
        </a:xfrm>
        <a:prstGeom prst="straightConnector1">
          <a:avLst/>
        </a:prstGeom>
        <a:noFill/>
        <a:ln w="9525" algn="ctr">
          <a:solidFill>
            <a:srgbClr val="000000"/>
          </a:solidFill>
          <a:round/>
          <a:headEnd/>
          <a:tailEnd type="arrow" w="med" len="med"/>
        </a:ln>
      </xdr:spPr>
    </xdr:cxnSp>
    <xdr:clientData/>
  </xdr:twoCellAnchor>
  <xdr:twoCellAnchor>
    <xdr:from>
      <xdr:col>9</xdr:col>
      <xdr:colOff>0</xdr:colOff>
      <xdr:row>15</xdr:row>
      <xdr:rowOff>0</xdr:rowOff>
    </xdr:from>
    <xdr:to>
      <xdr:col>9</xdr:col>
      <xdr:colOff>0</xdr:colOff>
      <xdr:row>15</xdr:row>
      <xdr:rowOff>0</xdr:rowOff>
    </xdr:to>
    <xdr:sp macro="" textlink="">
      <xdr:nvSpPr>
        <xdr:cNvPr id="55" name="Line 4"/>
        <xdr:cNvSpPr>
          <a:spLocks noChangeShapeType="1"/>
        </xdr:cNvSpPr>
      </xdr:nvSpPr>
      <xdr:spPr bwMode="auto">
        <a:xfrm>
          <a:off x="5762625" y="3000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25</xdr:row>
      <xdr:rowOff>9525</xdr:rowOff>
    </xdr:from>
    <xdr:to>
      <xdr:col>10</xdr:col>
      <xdr:colOff>19050</xdr:colOff>
      <xdr:row>25</xdr:row>
      <xdr:rowOff>9525</xdr:rowOff>
    </xdr:to>
    <xdr:sp macro="" textlink="">
      <xdr:nvSpPr>
        <xdr:cNvPr id="56" name="Line 7"/>
        <xdr:cNvSpPr>
          <a:spLocks noChangeShapeType="1"/>
        </xdr:cNvSpPr>
      </xdr:nvSpPr>
      <xdr:spPr bwMode="auto">
        <a:xfrm>
          <a:off x="5772150" y="491490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10</xdr:row>
      <xdr:rowOff>0</xdr:rowOff>
    </xdr:from>
    <xdr:to>
      <xdr:col>17</xdr:col>
      <xdr:colOff>0</xdr:colOff>
      <xdr:row>10</xdr:row>
      <xdr:rowOff>0</xdr:rowOff>
    </xdr:to>
    <xdr:sp macro="" textlink="">
      <xdr:nvSpPr>
        <xdr:cNvPr id="57" name="Line 9"/>
        <xdr:cNvSpPr>
          <a:spLocks noChangeShapeType="1"/>
        </xdr:cNvSpPr>
      </xdr:nvSpPr>
      <xdr:spPr bwMode="auto">
        <a:xfrm>
          <a:off x="6067425" y="2047875"/>
          <a:ext cx="407670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27</xdr:row>
      <xdr:rowOff>0</xdr:rowOff>
    </xdr:from>
    <xdr:to>
      <xdr:col>12</xdr:col>
      <xdr:colOff>9525</xdr:colOff>
      <xdr:row>27</xdr:row>
      <xdr:rowOff>0</xdr:rowOff>
    </xdr:to>
    <xdr:sp macro="" textlink="">
      <xdr:nvSpPr>
        <xdr:cNvPr id="58" name="Line 10"/>
        <xdr:cNvSpPr>
          <a:spLocks noChangeShapeType="1"/>
        </xdr:cNvSpPr>
      </xdr:nvSpPr>
      <xdr:spPr bwMode="auto">
        <a:xfrm>
          <a:off x="6057900" y="5286375"/>
          <a:ext cx="9429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9525</xdr:rowOff>
    </xdr:from>
    <xdr:to>
      <xdr:col>12</xdr:col>
      <xdr:colOff>0</xdr:colOff>
      <xdr:row>27</xdr:row>
      <xdr:rowOff>0</xdr:rowOff>
    </xdr:to>
    <xdr:sp macro="" textlink="">
      <xdr:nvSpPr>
        <xdr:cNvPr id="59" name="Line 12"/>
        <xdr:cNvSpPr>
          <a:spLocks noChangeShapeType="1"/>
        </xdr:cNvSpPr>
      </xdr:nvSpPr>
      <xdr:spPr bwMode="auto">
        <a:xfrm>
          <a:off x="6991350" y="4914900"/>
          <a:ext cx="0" cy="3714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25</xdr:row>
      <xdr:rowOff>9525</xdr:rowOff>
    </xdr:from>
    <xdr:to>
      <xdr:col>14</xdr:col>
      <xdr:colOff>15875</xdr:colOff>
      <xdr:row>25</xdr:row>
      <xdr:rowOff>15875</xdr:rowOff>
    </xdr:to>
    <xdr:sp macro="" textlink="">
      <xdr:nvSpPr>
        <xdr:cNvPr id="60" name="Line 14"/>
        <xdr:cNvSpPr>
          <a:spLocks noChangeShapeType="1"/>
        </xdr:cNvSpPr>
      </xdr:nvSpPr>
      <xdr:spPr bwMode="auto">
        <a:xfrm>
          <a:off x="6096000" y="4914900"/>
          <a:ext cx="2149475" cy="635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27</xdr:row>
      <xdr:rowOff>9525</xdr:rowOff>
    </xdr:from>
    <xdr:to>
      <xdr:col>14</xdr:col>
      <xdr:colOff>9525</xdr:colOff>
      <xdr:row>27</xdr:row>
      <xdr:rowOff>9525</xdr:rowOff>
    </xdr:to>
    <xdr:sp macro="" textlink="">
      <xdr:nvSpPr>
        <xdr:cNvPr id="61" name="Line 15"/>
        <xdr:cNvSpPr>
          <a:spLocks noChangeShapeType="1"/>
        </xdr:cNvSpPr>
      </xdr:nvSpPr>
      <xdr:spPr bwMode="auto">
        <a:xfrm>
          <a:off x="6991350" y="5295900"/>
          <a:ext cx="1247775"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38</xdr:row>
      <xdr:rowOff>0</xdr:rowOff>
    </xdr:from>
    <xdr:to>
      <xdr:col>9</xdr:col>
      <xdr:colOff>266700</xdr:colOff>
      <xdr:row>38</xdr:row>
      <xdr:rowOff>0</xdr:rowOff>
    </xdr:to>
    <xdr:sp macro="" textlink="">
      <xdr:nvSpPr>
        <xdr:cNvPr id="62" name="Line 16"/>
        <xdr:cNvSpPr>
          <a:spLocks noChangeShapeType="1"/>
        </xdr:cNvSpPr>
      </xdr:nvSpPr>
      <xdr:spPr bwMode="auto">
        <a:xfrm>
          <a:off x="60579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257175</xdr:colOff>
      <xdr:row>37</xdr:row>
      <xdr:rowOff>0</xdr:rowOff>
    </xdr:from>
    <xdr:to>
      <xdr:col>16</xdr:col>
      <xdr:colOff>361950</xdr:colOff>
      <xdr:row>37</xdr:row>
      <xdr:rowOff>0</xdr:rowOff>
    </xdr:to>
    <xdr:sp macro="" textlink="">
      <xdr:nvSpPr>
        <xdr:cNvPr id="63" name="Line 17"/>
        <xdr:cNvSpPr>
          <a:spLocks noChangeShapeType="1"/>
        </xdr:cNvSpPr>
      </xdr:nvSpPr>
      <xdr:spPr bwMode="auto">
        <a:xfrm>
          <a:off x="6019800" y="7191375"/>
          <a:ext cx="3800475"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9</xdr:col>
      <xdr:colOff>0</xdr:colOff>
      <xdr:row>28</xdr:row>
      <xdr:rowOff>0</xdr:rowOff>
    </xdr:to>
    <xdr:sp macro="" textlink="">
      <xdr:nvSpPr>
        <xdr:cNvPr id="64" name="Line 18"/>
        <xdr:cNvSpPr>
          <a:spLocks noChangeShapeType="1"/>
        </xdr:cNvSpPr>
      </xdr:nvSpPr>
      <xdr:spPr bwMode="auto">
        <a:xfrm>
          <a:off x="5400675" y="5476875"/>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9525</xdr:rowOff>
    </xdr:from>
    <xdr:to>
      <xdr:col>11</xdr:col>
      <xdr:colOff>0</xdr:colOff>
      <xdr:row>28</xdr:row>
      <xdr:rowOff>9525</xdr:rowOff>
    </xdr:to>
    <xdr:sp macro="" textlink="">
      <xdr:nvSpPr>
        <xdr:cNvPr id="65" name="Line 19"/>
        <xdr:cNvSpPr>
          <a:spLocks noChangeShapeType="1"/>
        </xdr:cNvSpPr>
      </xdr:nvSpPr>
      <xdr:spPr bwMode="auto">
        <a:xfrm>
          <a:off x="5762625" y="5486400"/>
          <a:ext cx="552450"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11</xdr:col>
      <xdr:colOff>0</xdr:colOff>
      <xdr:row>26</xdr:row>
      <xdr:rowOff>66675</xdr:rowOff>
    </xdr:to>
    <xdr:sp macro="" textlink="">
      <xdr:nvSpPr>
        <xdr:cNvPr id="66" name="Line 20"/>
        <xdr:cNvSpPr>
          <a:spLocks noChangeShapeType="1"/>
        </xdr:cNvSpPr>
      </xdr:nvSpPr>
      <xdr:spPr bwMode="auto">
        <a:xfrm>
          <a:off x="6315075" y="2238375"/>
          <a:ext cx="0" cy="292417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17</xdr:col>
      <xdr:colOff>0</xdr:colOff>
      <xdr:row>11</xdr:row>
      <xdr:rowOff>0</xdr:rowOff>
    </xdr:to>
    <xdr:sp macro="" textlink="">
      <xdr:nvSpPr>
        <xdr:cNvPr id="67" name="Line 22"/>
        <xdr:cNvSpPr>
          <a:spLocks noChangeShapeType="1"/>
        </xdr:cNvSpPr>
      </xdr:nvSpPr>
      <xdr:spPr bwMode="auto">
        <a:xfrm>
          <a:off x="6315075" y="2238375"/>
          <a:ext cx="382905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23</xdr:row>
      <xdr:rowOff>0</xdr:rowOff>
    </xdr:from>
    <xdr:to>
      <xdr:col>14</xdr:col>
      <xdr:colOff>0</xdr:colOff>
      <xdr:row>23</xdr:row>
      <xdr:rowOff>0</xdr:rowOff>
    </xdr:to>
    <xdr:sp macro="" textlink="">
      <xdr:nvSpPr>
        <xdr:cNvPr id="68" name="Line 23"/>
        <xdr:cNvSpPr>
          <a:spLocks noChangeShapeType="1"/>
        </xdr:cNvSpPr>
      </xdr:nvSpPr>
      <xdr:spPr bwMode="auto">
        <a:xfrm>
          <a:off x="6324600" y="4524375"/>
          <a:ext cx="190500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29</xdr:row>
      <xdr:rowOff>9525</xdr:rowOff>
    </xdr:from>
    <xdr:to>
      <xdr:col>14</xdr:col>
      <xdr:colOff>19050</xdr:colOff>
      <xdr:row>29</xdr:row>
      <xdr:rowOff>19050</xdr:rowOff>
    </xdr:to>
    <xdr:sp macro="" textlink="">
      <xdr:nvSpPr>
        <xdr:cNvPr id="69" name="Line 24"/>
        <xdr:cNvSpPr>
          <a:spLocks noChangeShapeType="1"/>
        </xdr:cNvSpPr>
      </xdr:nvSpPr>
      <xdr:spPr bwMode="auto">
        <a:xfrm flipV="1">
          <a:off x="6324600" y="5676900"/>
          <a:ext cx="1924050" cy="9525"/>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257175</xdr:colOff>
      <xdr:row>34</xdr:row>
      <xdr:rowOff>152400</xdr:rowOff>
    </xdr:from>
    <xdr:to>
      <xdr:col>16</xdr:col>
      <xdr:colOff>371475</xdr:colOff>
      <xdr:row>34</xdr:row>
      <xdr:rowOff>152400</xdr:rowOff>
    </xdr:to>
    <xdr:sp macro="" textlink="">
      <xdr:nvSpPr>
        <xdr:cNvPr id="70" name="Line 25"/>
        <xdr:cNvSpPr>
          <a:spLocks noChangeShapeType="1"/>
        </xdr:cNvSpPr>
      </xdr:nvSpPr>
      <xdr:spPr bwMode="auto">
        <a:xfrm>
          <a:off x="6315075" y="6772275"/>
          <a:ext cx="3514725"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9</xdr:col>
      <xdr:colOff>0</xdr:colOff>
      <xdr:row>13</xdr:row>
      <xdr:rowOff>0</xdr:rowOff>
    </xdr:to>
    <xdr:sp macro="" textlink="">
      <xdr:nvSpPr>
        <xdr:cNvPr id="71" name="Line 27"/>
        <xdr:cNvSpPr>
          <a:spLocks noChangeShapeType="1"/>
        </xdr:cNvSpPr>
      </xdr:nvSpPr>
      <xdr:spPr bwMode="auto">
        <a:xfrm>
          <a:off x="5400675" y="2619375"/>
          <a:ext cx="36195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13</xdr:row>
      <xdr:rowOff>0</xdr:rowOff>
    </xdr:from>
    <xdr:to>
      <xdr:col>9</xdr:col>
      <xdr:colOff>266700</xdr:colOff>
      <xdr:row>13</xdr:row>
      <xdr:rowOff>0</xdr:rowOff>
    </xdr:to>
    <xdr:sp macro="" textlink="">
      <xdr:nvSpPr>
        <xdr:cNvPr id="72" name="Line 29"/>
        <xdr:cNvSpPr>
          <a:spLocks noChangeShapeType="1"/>
        </xdr:cNvSpPr>
      </xdr:nvSpPr>
      <xdr:spPr bwMode="auto">
        <a:xfrm>
          <a:off x="5791200"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13</xdr:row>
      <xdr:rowOff>0</xdr:rowOff>
    </xdr:from>
    <xdr:to>
      <xdr:col>10</xdr:col>
      <xdr:colOff>266700</xdr:colOff>
      <xdr:row>13</xdr:row>
      <xdr:rowOff>0</xdr:rowOff>
    </xdr:to>
    <xdr:sp macro="" textlink="">
      <xdr:nvSpPr>
        <xdr:cNvPr id="73" name="Line 30"/>
        <xdr:cNvSpPr>
          <a:spLocks noChangeShapeType="1"/>
        </xdr:cNvSpPr>
      </xdr:nvSpPr>
      <xdr:spPr bwMode="auto">
        <a:xfrm>
          <a:off x="6105525" y="26193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13</xdr:row>
      <xdr:rowOff>0</xdr:rowOff>
    </xdr:from>
    <xdr:to>
      <xdr:col>16</xdr:col>
      <xdr:colOff>371475</xdr:colOff>
      <xdr:row>13</xdr:row>
      <xdr:rowOff>0</xdr:rowOff>
    </xdr:to>
    <xdr:sp macro="" textlink="">
      <xdr:nvSpPr>
        <xdr:cNvPr id="74" name="Line 32"/>
        <xdr:cNvSpPr>
          <a:spLocks noChangeShapeType="1"/>
        </xdr:cNvSpPr>
      </xdr:nvSpPr>
      <xdr:spPr bwMode="auto">
        <a:xfrm>
          <a:off x="6400800" y="2619375"/>
          <a:ext cx="342900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16</xdr:row>
      <xdr:rowOff>0</xdr:rowOff>
    </xdr:from>
    <xdr:to>
      <xdr:col>15</xdr:col>
      <xdr:colOff>0</xdr:colOff>
      <xdr:row>21</xdr:row>
      <xdr:rowOff>152400</xdr:rowOff>
    </xdr:to>
    <xdr:sp macro="" textlink="">
      <xdr:nvSpPr>
        <xdr:cNvPr id="75" name="Line 37"/>
        <xdr:cNvSpPr>
          <a:spLocks noChangeShapeType="1"/>
        </xdr:cNvSpPr>
      </xdr:nvSpPr>
      <xdr:spPr bwMode="auto">
        <a:xfrm>
          <a:off x="8839200" y="3190875"/>
          <a:ext cx="0" cy="110490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228600</xdr:colOff>
      <xdr:row>14</xdr:row>
      <xdr:rowOff>28575</xdr:rowOff>
    </xdr:from>
    <xdr:to>
      <xdr:col>18</xdr:col>
      <xdr:colOff>228600</xdr:colOff>
      <xdr:row>16</xdr:row>
      <xdr:rowOff>28575</xdr:rowOff>
    </xdr:to>
    <xdr:sp macro="" textlink="">
      <xdr:nvSpPr>
        <xdr:cNvPr id="76" name="Line 38"/>
        <xdr:cNvSpPr>
          <a:spLocks noChangeShapeType="1"/>
        </xdr:cNvSpPr>
      </xdr:nvSpPr>
      <xdr:spPr bwMode="auto">
        <a:xfrm>
          <a:off x="10982325" y="2838450"/>
          <a:ext cx="0" cy="38100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161925</xdr:colOff>
      <xdr:row>15</xdr:row>
      <xdr:rowOff>152400</xdr:rowOff>
    </xdr:from>
    <xdr:to>
      <xdr:col>24</xdr:col>
      <xdr:colOff>161925</xdr:colOff>
      <xdr:row>23</xdr:row>
      <xdr:rowOff>133350</xdr:rowOff>
    </xdr:to>
    <xdr:sp macro="" textlink="">
      <xdr:nvSpPr>
        <xdr:cNvPr id="77" name="Line 40"/>
        <xdr:cNvSpPr>
          <a:spLocks noChangeShapeType="1"/>
        </xdr:cNvSpPr>
      </xdr:nvSpPr>
      <xdr:spPr bwMode="auto">
        <a:xfrm>
          <a:off x="14954250" y="3152775"/>
          <a:ext cx="0" cy="150495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219075</xdr:colOff>
      <xdr:row>16</xdr:row>
      <xdr:rowOff>0</xdr:rowOff>
    </xdr:from>
    <xdr:to>
      <xdr:col>17</xdr:col>
      <xdr:colOff>228600</xdr:colOff>
      <xdr:row>34</xdr:row>
      <xdr:rowOff>0</xdr:rowOff>
    </xdr:to>
    <xdr:sp macro="" textlink="">
      <xdr:nvSpPr>
        <xdr:cNvPr id="78" name="Line 42"/>
        <xdr:cNvSpPr>
          <a:spLocks noChangeShapeType="1"/>
        </xdr:cNvSpPr>
      </xdr:nvSpPr>
      <xdr:spPr bwMode="auto">
        <a:xfrm flipH="1">
          <a:off x="10363200" y="3190875"/>
          <a:ext cx="9525" cy="3429000"/>
        </a:xfrm>
        <a:prstGeom prst="line">
          <a:avLst/>
        </a:prstGeom>
        <a:noFill/>
        <a:ln w="9525">
          <a:solidFill>
            <a:srgbClr val="000000"/>
          </a:solidFill>
          <a:prstDash val="lgDashDot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19</xdr:row>
      <xdr:rowOff>9525</xdr:rowOff>
    </xdr:from>
    <xdr:to>
      <xdr:col>23</xdr:col>
      <xdr:colOff>0</xdr:colOff>
      <xdr:row>19</xdr:row>
      <xdr:rowOff>9525</xdr:rowOff>
    </xdr:to>
    <xdr:sp macro="" textlink="">
      <xdr:nvSpPr>
        <xdr:cNvPr id="79" name="Line 43"/>
        <xdr:cNvSpPr>
          <a:spLocks noChangeShapeType="1"/>
        </xdr:cNvSpPr>
      </xdr:nvSpPr>
      <xdr:spPr bwMode="auto">
        <a:xfrm>
          <a:off x="9458325" y="3771900"/>
          <a:ext cx="47244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19</xdr:row>
      <xdr:rowOff>9525</xdr:rowOff>
    </xdr:from>
    <xdr:to>
      <xdr:col>16</xdr:col>
      <xdr:colOff>0</xdr:colOff>
      <xdr:row>21</xdr:row>
      <xdr:rowOff>152400</xdr:rowOff>
    </xdr:to>
    <xdr:sp macro="" textlink="">
      <xdr:nvSpPr>
        <xdr:cNvPr id="80" name="Line 44"/>
        <xdr:cNvSpPr>
          <a:spLocks noChangeShapeType="1"/>
        </xdr:cNvSpPr>
      </xdr:nvSpPr>
      <xdr:spPr bwMode="auto">
        <a:xfrm>
          <a:off x="9458325" y="3771900"/>
          <a:ext cx="0" cy="5238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0</xdr:colOff>
      <xdr:row>19</xdr:row>
      <xdr:rowOff>9525</xdr:rowOff>
    </xdr:from>
    <xdr:to>
      <xdr:col>23</xdr:col>
      <xdr:colOff>0</xdr:colOff>
      <xdr:row>23</xdr:row>
      <xdr:rowOff>152400</xdr:rowOff>
    </xdr:to>
    <xdr:sp macro="" textlink="">
      <xdr:nvSpPr>
        <xdr:cNvPr id="81" name="Line 45"/>
        <xdr:cNvSpPr>
          <a:spLocks noChangeShapeType="1"/>
        </xdr:cNvSpPr>
      </xdr:nvSpPr>
      <xdr:spPr bwMode="auto">
        <a:xfrm>
          <a:off x="14182725" y="3771900"/>
          <a:ext cx="0" cy="9048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14</xdr:row>
      <xdr:rowOff>9525</xdr:rowOff>
    </xdr:from>
    <xdr:to>
      <xdr:col>20</xdr:col>
      <xdr:colOff>0</xdr:colOff>
      <xdr:row>15</xdr:row>
      <xdr:rowOff>85725</xdr:rowOff>
    </xdr:to>
    <xdr:sp macro="" textlink="">
      <xdr:nvSpPr>
        <xdr:cNvPr id="82" name="Line 46"/>
        <xdr:cNvSpPr>
          <a:spLocks noChangeShapeType="1"/>
        </xdr:cNvSpPr>
      </xdr:nvSpPr>
      <xdr:spPr bwMode="auto">
        <a:xfrm>
          <a:off x="12125325" y="2819400"/>
          <a:ext cx="0" cy="26670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16</xdr:row>
      <xdr:rowOff>47625</xdr:rowOff>
    </xdr:from>
    <xdr:to>
      <xdr:col>20</xdr:col>
      <xdr:colOff>0</xdr:colOff>
      <xdr:row>18</xdr:row>
      <xdr:rowOff>152400</xdr:rowOff>
    </xdr:to>
    <xdr:sp macro="" textlink="">
      <xdr:nvSpPr>
        <xdr:cNvPr id="83" name="Line 47"/>
        <xdr:cNvSpPr>
          <a:spLocks noChangeShapeType="1"/>
        </xdr:cNvSpPr>
      </xdr:nvSpPr>
      <xdr:spPr bwMode="auto">
        <a:xfrm>
          <a:off x="12125325" y="3238500"/>
          <a:ext cx="0" cy="485775"/>
        </a:xfrm>
        <a:prstGeom prst="line">
          <a:avLst/>
        </a:prstGeom>
        <a:noFill/>
        <a:ln w="9525">
          <a:solidFill>
            <a:srgbClr val="000000"/>
          </a:solidFill>
          <a:prstDash val="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19</xdr:row>
      <xdr:rowOff>9525</xdr:rowOff>
    </xdr:from>
    <xdr:to>
      <xdr:col>19</xdr:col>
      <xdr:colOff>0</xdr:colOff>
      <xdr:row>34</xdr:row>
      <xdr:rowOff>0</xdr:rowOff>
    </xdr:to>
    <xdr:sp macro="" textlink="">
      <xdr:nvSpPr>
        <xdr:cNvPr id="84" name="Line 48"/>
        <xdr:cNvSpPr>
          <a:spLocks noChangeShapeType="1"/>
        </xdr:cNvSpPr>
      </xdr:nvSpPr>
      <xdr:spPr bwMode="auto">
        <a:xfrm>
          <a:off x="11363325" y="3771900"/>
          <a:ext cx="0" cy="28479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30</xdr:row>
      <xdr:rowOff>104775</xdr:rowOff>
    </xdr:from>
    <xdr:to>
      <xdr:col>28</xdr:col>
      <xdr:colOff>0</xdr:colOff>
      <xdr:row>30</xdr:row>
      <xdr:rowOff>104775</xdr:rowOff>
    </xdr:to>
    <xdr:sp macro="" textlink="">
      <xdr:nvSpPr>
        <xdr:cNvPr id="85" name="Line 55"/>
        <xdr:cNvSpPr>
          <a:spLocks noChangeShapeType="1"/>
        </xdr:cNvSpPr>
      </xdr:nvSpPr>
      <xdr:spPr bwMode="auto">
        <a:xfrm>
          <a:off x="16021050" y="5962650"/>
          <a:ext cx="1295400" cy="0"/>
        </a:xfrm>
        <a:prstGeom prst="line">
          <a:avLst/>
        </a:prstGeom>
        <a:noFill/>
        <a:ln w="127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295275</xdr:colOff>
      <xdr:row>30</xdr:row>
      <xdr:rowOff>104775</xdr:rowOff>
    </xdr:from>
    <xdr:to>
      <xdr:col>19</xdr:col>
      <xdr:colOff>295275</xdr:colOff>
      <xdr:row>33</xdr:row>
      <xdr:rowOff>152400</xdr:rowOff>
    </xdr:to>
    <xdr:sp macro="" textlink="">
      <xdr:nvSpPr>
        <xdr:cNvPr id="86" name="Line 57"/>
        <xdr:cNvSpPr>
          <a:spLocks noChangeShapeType="1"/>
        </xdr:cNvSpPr>
      </xdr:nvSpPr>
      <xdr:spPr bwMode="auto">
        <a:xfrm>
          <a:off x="11658600" y="5962650"/>
          <a:ext cx="0" cy="619125"/>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200025</xdr:colOff>
      <xdr:row>16</xdr:row>
      <xdr:rowOff>0</xdr:rowOff>
    </xdr:to>
    <xdr:sp macro="" textlink="">
      <xdr:nvSpPr>
        <xdr:cNvPr id="87" name="Line 70"/>
        <xdr:cNvSpPr>
          <a:spLocks noChangeShapeType="1"/>
        </xdr:cNvSpPr>
      </xdr:nvSpPr>
      <xdr:spPr bwMode="auto">
        <a:xfrm>
          <a:off x="5762625" y="3190875"/>
          <a:ext cx="2000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16</xdr:row>
      <xdr:rowOff>0</xdr:rowOff>
    </xdr:from>
    <xdr:to>
      <xdr:col>10</xdr:col>
      <xdr:colOff>200025</xdr:colOff>
      <xdr:row>16</xdr:row>
      <xdr:rowOff>0</xdr:rowOff>
    </xdr:to>
    <xdr:sp macro="" textlink="">
      <xdr:nvSpPr>
        <xdr:cNvPr id="88" name="Line 72"/>
        <xdr:cNvSpPr>
          <a:spLocks noChangeShapeType="1"/>
        </xdr:cNvSpPr>
      </xdr:nvSpPr>
      <xdr:spPr bwMode="auto">
        <a:xfrm>
          <a:off x="6096000" y="3190875"/>
          <a:ext cx="1619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12</xdr:col>
      <xdr:colOff>38100</xdr:colOff>
      <xdr:row>16</xdr:row>
      <xdr:rowOff>0</xdr:rowOff>
    </xdr:from>
    <xdr:to>
      <xdr:col>24</xdr:col>
      <xdr:colOff>171450</xdr:colOff>
      <xdr:row>16</xdr:row>
      <xdr:rowOff>0</xdr:rowOff>
    </xdr:to>
    <xdr:sp macro="" textlink="">
      <xdr:nvSpPr>
        <xdr:cNvPr id="89" name="Line 73"/>
        <xdr:cNvSpPr>
          <a:spLocks noChangeShapeType="1"/>
        </xdr:cNvSpPr>
      </xdr:nvSpPr>
      <xdr:spPr bwMode="auto">
        <a:xfrm>
          <a:off x="7029450" y="3190875"/>
          <a:ext cx="79343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19</xdr:row>
      <xdr:rowOff>0</xdr:rowOff>
    </xdr:from>
    <xdr:to>
      <xdr:col>9</xdr:col>
      <xdr:colOff>219075</xdr:colOff>
      <xdr:row>19</xdr:row>
      <xdr:rowOff>0</xdr:rowOff>
    </xdr:to>
    <xdr:sp macro="" textlink="">
      <xdr:nvSpPr>
        <xdr:cNvPr id="90" name="Line 74"/>
        <xdr:cNvSpPr>
          <a:spLocks noChangeShapeType="1"/>
        </xdr:cNvSpPr>
      </xdr:nvSpPr>
      <xdr:spPr bwMode="auto">
        <a:xfrm>
          <a:off x="5772150" y="3762375"/>
          <a:ext cx="20955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19</xdr:row>
      <xdr:rowOff>0</xdr:rowOff>
    </xdr:from>
    <xdr:to>
      <xdr:col>10</xdr:col>
      <xdr:colOff>228600</xdr:colOff>
      <xdr:row>19</xdr:row>
      <xdr:rowOff>0</xdr:rowOff>
    </xdr:to>
    <xdr:sp macro="" textlink="">
      <xdr:nvSpPr>
        <xdr:cNvPr id="91" name="Line 75"/>
        <xdr:cNvSpPr>
          <a:spLocks noChangeShapeType="1"/>
        </xdr:cNvSpPr>
      </xdr:nvSpPr>
      <xdr:spPr bwMode="auto">
        <a:xfrm>
          <a:off x="6096000" y="3762375"/>
          <a:ext cx="1905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19</xdr:row>
      <xdr:rowOff>0</xdr:rowOff>
    </xdr:from>
    <xdr:to>
      <xdr:col>16</xdr:col>
      <xdr:colOff>0</xdr:colOff>
      <xdr:row>19</xdr:row>
      <xdr:rowOff>0</xdr:rowOff>
    </xdr:to>
    <xdr:sp macro="" textlink="">
      <xdr:nvSpPr>
        <xdr:cNvPr id="92" name="Line 76"/>
        <xdr:cNvSpPr>
          <a:spLocks noChangeShapeType="1"/>
        </xdr:cNvSpPr>
      </xdr:nvSpPr>
      <xdr:spPr bwMode="auto">
        <a:xfrm>
          <a:off x="6381750" y="3762375"/>
          <a:ext cx="3076575"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16</xdr:row>
      <xdr:rowOff>0</xdr:rowOff>
    </xdr:from>
    <xdr:to>
      <xdr:col>8</xdr:col>
      <xdr:colOff>352425</xdr:colOff>
      <xdr:row>16</xdr:row>
      <xdr:rowOff>0</xdr:rowOff>
    </xdr:to>
    <xdr:sp macro="" textlink="">
      <xdr:nvSpPr>
        <xdr:cNvPr id="93" name="Line 77"/>
        <xdr:cNvSpPr>
          <a:spLocks noChangeShapeType="1"/>
        </xdr:cNvSpPr>
      </xdr:nvSpPr>
      <xdr:spPr bwMode="auto">
        <a:xfrm>
          <a:off x="5410200" y="3190875"/>
          <a:ext cx="3429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19</xdr:row>
      <xdr:rowOff>0</xdr:rowOff>
    </xdr:from>
    <xdr:to>
      <xdr:col>8</xdr:col>
      <xdr:colOff>371475</xdr:colOff>
      <xdr:row>19</xdr:row>
      <xdr:rowOff>0</xdr:rowOff>
    </xdr:to>
    <xdr:sp macro="" textlink="">
      <xdr:nvSpPr>
        <xdr:cNvPr id="94" name="Line 78"/>
        <xdr:cNvSpPr>
          <a:spLocks noChangeShapeType="1"/>
        </xdr:cNvSpPr>
      </xdr:nvSpPr>
      <xdr:spPr bwMode="auto">
        <a:xfrm>
          <a:off x="5410200" y="3762375"/>
          <a:ext cx="3524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47625</xdr:colOff>
      <xdr:row>16</xdr:row>
      <xdr:rowOff>0</xdr:rowOff>
    </xdr:from>
    <xdr:to>
      <xdr:col>12</xdr:col>
      <xdr:colOff>9525</xdr:colOff>
      <xdr:row>16</xdr:row>
      <xdr:rowOff>0</xdr:rowOff>
    </xdr:to>
    <xdr:sp macro="" textlink="">
      <xdr:nvSpPr>
        <xdr:cNvPr id="95" name="Line 79"/>
        <xdr:cNvSpPr>
          <a:spLocks noChangeShapeType="1"/>
        </xdr:cNvSpPr>
      </xdr:nvSpPr>
      <xdr:spPr bwMode="auto">
        <a:xfrm>
          <a:off x="6362700" y="3190875"/>
          <a:ext cx="638175"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10</xdr:row>
      <xdr:rowOff>9525</xdr:rowOff>
    </xdr:from>
    <xdr:to>
      <xdr:col>10</xdr:col>
      <xdr:colOff>0</xdr:colOff>
      <xdr:row>36</xdr:row>
      <xdr:rowOff>152400</xdr:rowOff>
    </xdr:to>
    <xdr:sp macro="" textlink="">
      <xdr:nvSpPr>
        <xdr:cNvPr id="96" name="Line 81"/>
        <xdr:cNvSpPr>
          <a:spLocks noChangeShapeType="1"/>
        </xdr:cNvSpPr>
      </xdr:nvSpPr>
      <xdr:spPr bwMode="auto">
        <a:xfrm>
          <a:off x="6057900" y="2057400"/>
          <a:ext cx="0" cy="50958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76200</xdr:colOff>
      <xdr:row>30</xdr:row>
      <xdr:rowOff>104775</xdr:rowOff>
    </xdr:from>
    <xdr:to>
      <xdr:col>25</xdr:col>
      <xdr:colOff>333375</xdr:colOff>
      <xdr:row>30</xdr:row>
      <xdr:rowOff>104775</xdr:rowOff>
    </xdr:to>
    <xdr:sp macro="" textlink="">
      <xdr:nvSpPr>
        <xdr:cNvPr id="97" name="Line 85"/>
        <xdr:cNvSpPr>
          <a:spLocks noChangeShapeType="1"/>
        </xdr:cNvSpPr>
      </xdr:nvSpPr>
      <xdr:spPr bwMode="auto">
        <a:xfrm>
          <a:off x="11439525" y="5962650"/>
          <a:ext cx="4305300"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30</xdr:row>
      <xdr:rowOff>85725</xdr:rowOff>
    </xdr:from>
    <xdr:to>
      <xdr:col>17</xdr:col>
      <xdr:colOff>180975</xdr:colOff>
      <xdr:row>30</xdr:row>
      <xdr:rowOff>85725</xdr:rowOff>
    </xdr:to>
    <xdr:sp macro="" textlink="">
      <xdr:nvSpPr>
        <xdr:cNvPr id="98" name="Line 87"/>
        <xdr:cNvSpPr>
          <a:spLocks noChangeShapeType="1"/>
        </xdr:cNvSpPr>
      </xdr:nvSpPr>
      <xdr:spPr bwMode="auto">
        <a:xfrm>
          <a:off x="9829800" y="5943600"/>
          <a:ext cx="495300"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254793</xdr:colOff>
      <xdr:row>30</xdr:row>
      <xdr:rowOff>85725</xdr:rowOff>
    </xdr:from>
    <xdr:to>
      <xdr:col>18</xdr:col>
      <xdr:colOff>330993</xdr:colOff>
      <xdr:row>30</xdr:row>
      <xdr:rowOff>85725</xdr:rowOff>
    </xdr:to>
    <xdr:sp macro="" textlink="">
      <xdr:nvSpPr>
        <xdr:cNvPr id="99" name="Line 88"/>
        <xdr:cNvSpPr>
          <a:spLocks noChangeShapeType="1"/>
        </xdr:cNvSpPr>
      </xdr:nvSpPr>
      <xdr:spPr bwMode="auto">
        <a:xfrm>
          <a:off x="10398918" y="5943600"/>
          <a:ext cx="685800"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26</xdr:row>
      <xdr:rowOff>0</xdr:rowOff>
    </xdr:from>
    <xdr:to>
      <xdr:col>21</xdr:col>
      <xdr:colOff>0</xdr:colOff>
      <xdr:row>30</xdr:row>
      <xdr:rowOff>104775</xdr:rowOff>
    </xdr:to>
    <xdr:sp macro="" textlink="">
      <xdr:nvSpPr>
        <xdr:cNvPr id="100" name="Line 89"/>
        <xdr:cNvSpPr>
          <a:spLocks noChangeShapeType="1"/>
        </xdr:cNvSpPr>
      </xdr:nvSpPr>
      <xdr:spPr bwMode="auto">
        <a:xfrm>
          <a:off x="12811125" y="5095875"/>
          <a:ext cx="0" cy="866775"/>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26</xdr:row>
      <xdr:rowOff>0</xdr:rowOff>
    </xdr:from>
    <xdr:to>
      <xdr:col>22</xdr:col>
      <xdr:colOff>9525</xdr:colOff>
      <xdr:row>26</xdr:row>
      <xdr:rowOff>0</xdr:rowOff>
    </xdr:to>
    <xdr:sp macro="" textlink="">
      <xdr:nvSpPr>
        <xdr:cNvPr id="101" name="Line 90"/>
        <xdr:cNvSpPr>
          <a:spLocks noChangeShapeType="1"/>
        </xdr:cNvSpPr>
      </xdr:nvSpPr>
      <xdr:spPr bwMode="auto">
        <a:xfrm>
          <a:off x="12811125" y="5095875"/>
          <a:ext cx="771525" cy="0"/>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9525</xdr:colOff>
      <xdr:row>26</xdr:row>
      <xdr:rowOff>0</xdr:rowOff>
    </xdr:from>
    <xdr:to>
      <xdr:col>25</xdr:col>
      <xdr:colOff>352425</xdr:colOff>
      <xdr:row>26</xdr:row>
      <xdr:rowOff>0</xdr:rowOff>
    </xdr:to>
    <xdr:sp macro="" textlink="">
      <xdr:nvSpPr>
        <xdr:cNvPr id="102" name="Line 91"/>
        <xdr:cNvSpPr>
          <a:spLocks noChangeShapeType="1"/>
        </xdr:cNvSpPr>
      </xdr:nvSpPr>
      <xdr:spPr bwMode="auto">
        <a:xfrm>
          <a:off x="15420975" y="5095875"/>
          <a:ext cx="342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26</xdr:row>
      <xdr:rowOff>0</xdr:rowOff>
    </xdr:from>
    <xdr:to>
      <xdr:col>27</xdr:col>
      <xdr:colOff>523875</xdr:colOff>
      <xdr:row>26</xdr:row>
      <xdr:rowOff>0</xdr:rowOff>
    </xdr:to>
    <xdr:sp macro="" textlink="">
      <xdr:nvSpPr>
        <xdr:cNvPr id="103" name="Line 92"/>
        <xdr:cNvSpPr>
          <a:spLocks noChangeShapeType="1"/>
        </xdr:cNvSpPr>
      </xdr:nvSpPr>
      <xdr:spPr bwMode="auto">
        <a:xfrm>
          <a:off x="16021050" y="5095875"/>
          <a:ext cx="1209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27</xdr:row>
      <xdr:rowOff>66675</xdr:rowOff>
    </xdr:from>
    <xdr:to>
      <xdr:col>11</xdr:col>
      <xdr:colOff>0</xdr:colOff>
      <xdr:row>34</xdr:row>
      <xdr:rowOff>152400</xdr:rowOff>
    </xdr:to>
    <xdr:sp macro="" textlink="">
      <xdr:nvSpPr>
        <xdr:cNvPr id="104" name="Line 93"/>
        <xdr:cNvSpPr>
          <a:spLocks noChangeShapeType="1"/>
        </xdr:cNvSpPr>
      </xdr:nvSpPr>
      <xdr:spPr bwMode="auto">
        <a:xfrm>
          <a:off x="6315075" y="5353050"/>
          <a:ext cx="0" cy="141922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25</xdr:row>
      <xdr:rowOff>9525</xdr:rowOff>
    </xdr:from>
    <xdr:to>
      <xdr:col>8</xdr:col>
      <xdr:colOff>371475</xdr:colOff>
      <xdr:row>25</xdr:row>
      <xdr:rowOff>9525</xdr:rowOff>
    </xdr:to>
    <xdr:sp macro="" textlink="">
      <xdr:nvSpPr>
        <xdr:cNvPr id="105" name="Line 94"/>
        <xdr:cNvSpPr>
          <a:spLocks noChangeShapeType="1"/>
        </xdr:cNvSpPr>
      </xdr:nvSpPr>
      <xdr:spPr bwMode="auto">
        <a:xfrm>
          <a:off x="5400675" y="4914900"/>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381000</xdr:colOff>
      <xdr:row>16</xdr:row>
      <xdr:rowOff>85725</xdr:rowOff>
    </xdr:from>
    <xdr:to>
      <xdr:col>29</xdr:col>
      <xdr:colOff>0</xdr:colOff>
      <xdr:row>16</xdr:row>
      <xdr:rowOff>85725</xdr:rowOff>
    </xdr:to>
    <xdr:cxnSp macro="">
      <xdr:nvCxnSpPr>
        <xdr:cNvPr id="106" name="Straight Arrow Connector 2"/>
        <xdr:cNvCxnSpPr>
          <a:cxnSpLocks noChangeShapeType="1"/>
        </xdr:cNvCxnSpPr>
      </xdr:nvCxnSpPr>
      <xdr:spPr bwMode="auto">
        <a:xfrm>
          <a:off x="17087850" y="3276600"/>
          <a:ext cx="838200" cy="0"/>
        </a:xfrm>
        <a:prstGeom prst="straightConnector1">
          <a:avLst/>
        </a:prstGeom>
        <a:noFill/>
        <a:ln w="9525" algn="ctr">
          <a:solidFill>
            <a:srgbClr val="000000"/>
          </a:solidFill>
          <a:round/>
          <a:headEnd/>
          <a:tailEnd type="arrow" w="med" len="med"/>
        </a:ln>
      </xdr:spPr>
    </xdr:cxnSp>
    <xdr:clientData/>
  </xdr:twoCellAnchor>
  <xdr:twoCellAnchor>
    <xdr:from>
      <xdr:col>26</xdr:col>
      <xdr:colOff>28575</xdr:colOff>
      <xdr:row>16</xdr:row>
      <xdr:rowOff>85725</xdr:rowOff>
    </xdr:from>
    <xdr:to>
      <xdr:col>27</xdr:col>
      <xdr:colOff>447675</xdr:colOff>
      <xdr:row>16</xdr:row>
      <xdr:rowOff>85725</xdr:rowOff>
    </xdr:to>
    <xdr:cxnSp macro="">
      <xdr:nvCxnSpPr>
        <xdr:cNvPr id="107" name="Straight Arrow Connector 4"/>
        <xdr:cNvCxnSpPr>
          <a:cxnSpLocks noChangeShapeType="1"/>
        </xdr:cNvCxnSpPr>
      </xdr:nvCxnSpPr>
      <xdr:spPr bwMode="auto">
        <a:xfrm flipH="1">
          <a:off x="16049625" y="3276600"/>
          <a:ext cx="1104900" cy="0"/>
        </a:xfrm>
        <a:prstGeom prst="straightConnector1">
          <a:avLst/>
        </a:prstGeom>
        <a:noFill/>
        <a:ln w="9525" algn="ctr">
          <a:solidFill>
            <a:srgbClr val="000000"/>
          </a:solidFill>
          <a:round/>
          <a:headEnd/>
          <a:tailEnd type="arrow" w="med" len="med"/>
        </a:ln>
      </xdr:spPr>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15</xdr:row>
      <xdr:rowOff>0</xdr:rowOff>
    </xdr:from>
    <xdr:to>
      <xdr:col>9</xdr:col>
      <xdr:colOff>0</xdr:colOff>
      <xdr:row>15</xdr:row>
      <xdr:rowOff>0</xdr:rowOff>
    </xdr:to>
    <xdr:sp macro="" textlink="">
      <xdr:nvSpPr>
        <xdr:cNvPr id="2" name="Line 4"/>
        <xdr:cNvSpPr>
          <a:spLocks noChangeShapeType="1"/>
        </xdr:cNvSpPr>
      </xdr:nvSpPr>
      <xdr:spPr bwMode="auto">
        <a:xfrm>
          <a:off x="5762625" y="3000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25</xdr:row>
      <xdr:rowOff>9525</xdr:rowOff>
    </xdr:from>
    <xdr:to>
      <xdr:col>10</xdr:col>
      <xdr:colOff>19050</xdr:colOff>
      <xdr:row>25</xdr:row>
      <xdr:rowOff>9525</xdr:rowOff>
    </xdr:to>
    <xdr:sp macro="" textlink="">
      <xdr:nvSpPr>
        <xdr:cNvPr id="3" name="Line 7"/>
        <xdr:cNvSpPr>
          <a:spLocks noChangeShapeType="1"/>
        </xdr:cNvSpPr>
      </xdr:nvSpPr>
      <xdr:spPr bwMode="auto">
        <a:xfrm>
          <a:off x="5772150" y="491490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10</xdr:row>
      <xdr:rowOff>0</xdr:rowOff>
    </xdr:from>
    <xdr:to>
      <xdr:col>17</xdr:col>
      <xdr:colOff>0</xdr:colOff>
      <xdr:row>10</xdr:row>
      <xdr:rowOff>0</xdr:rowOff>
    </xdr:to>
    <xdr:sp macro="" textlink="">
      <xdr:nvSpPr>
        <xdr:cNvPr id="4" name="Line 9"/>
        <xdr:cNvSpPr>
          <a:spLocks noChangeShapeType="1"/>
        </xdr:cNvSpPr>
      </xdr:nvSpPr>
      <xdr:spPr bwMode="auto">
        <a:xfrm>
          <a:off x="6067425" y="2047875"/>
          <a:ext cx="417195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27</xdr:row>
      <xdr:rowOff>0</xdr:rowOff>
    </xdr:from>
    <xdr:to>
      <xdr:col>12</xdr:col>
      <xdr:colOff>9525</xdr:colOff>
      <xdr:row>27</xdr:row>
      <xdr:rowOff>0</xdr:rowOff>
    </xdr:to>
    <xdr:sp macro="" textlink="">
      <xdr:nvSpPr>
        <xdr:cNvPr id="5" name="Line 10"/>
        <xdr:cNvSpPr>
          <a:spLocks noChangeShapeType="1"/>
        </xdr:cNvSpPr>
      </xdr:nvSpPr>
      <xdr:spPr bwMode="auto">
        <a:xfrm>
          <a:off x="6057900" y="5286375"/>
          <a:ext cx="9429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25</xdr:row>
      <xdr:rowOff>9525</xdr:rowOff>
    </xdr:from>
    <xdr:to>
      <xdr:col>12</xdr:col>
      <xdr:colOff>0</xdr:colOff>
      <xdr:row>27</xdr:row>
      <xdr:rowOff>0</xdr:rowOff>
    </xdr:to>
    <xdr:sp macro="" textlink="">
      <xdr:nvSpPr>
        <xdr:cNvPr id="6" name="Line 12"/>
        <xdr:cNvSpPr>
          <a:spLocks noChangeShapeType="1"/>
        </xdr:cNvSpPr>
      </xdr:nvSpPr>
      <xdr:spPr bwMode="auto">
        <a:xfrm>
          <a:off x="6991350" y="4914900"/>
          <a:ext cx="0" cy="3714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25</xdr:row>
      <xdr:rowOff>9525</xdr:rowOff>
    </xdr:from>
    <xdr:to>
      <xdr:col>14</xdr:col>
      <xdr:colOff>15875</xdr:colOff>
      <xdr:row>25</xdr:row>
      <xdr:rowOff>15875</xdr:rowOff>
    </xdr:to>
    <xdr:sp macro="" textlink="">
      <xdr:nvSpPr>
        <xdr:cNvPr id="7" name="Line 14"/>
        <xdr:cNvSpPr>
          <a:spLocks noChangeShapeType="1"/>
        </xdr:cNvSpPr>
      </xdr:nvSpPr>
      <xdr:spPr bwMode="auto">
        <a:xfrm>
          <a:off x="6096000" y="4914900"/>
          <a:ext cx="2225675" cy="635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27</xdr:row>
      <xdr:rowOff>9525</xdr:rowOff>
    </xdr:from>
    <xdr:to>
      <xdr:col>14</xdr:col>
      <xdr:colOff>9525</xdr:colOff>
      <xdr:row>27</xdr:row>
      <xdr:rowOff>9525</xdr:rowOff>
    </xdr:to>
    <xdr:sp macro="" textlink="">
      <xdr:nvSpPr>
        <xdr:cNvPr id="8" name="Line 15"/>
        <xdr:cNvSpPr>
          <a:spLocks noChangeShapeType="1"/>
        </xdr:cNvSpPr>
      </xdr:nvSpPr>
      <xdr:spPr bwMode="auto">
        <a:xfrm>
          <a:off x="6991350" y="5295900"/>
          <a:ext cx="1323975"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38</xdr:row>
      <xdr:rowOff>0</xdr:rowOff>
    </xdr:from>
    <xdr:to>
      <xdr:col>9</xdr:col>
      <xdr:colOff>266700</xdr:colOff>
      <xdr:row>38</xdr:row>
      <xdr:rowOff>0</xdr:rowOff>
    </xdr:to>
    <xdr:sp macro="" textlink="">
      <xdr:nvSpPr>
        <xdr:cNvPr id="9" name="Line 16"/>
        <xdr:cNvSpPr>
          <a:spLocks noChangeShapeType="1"/>
        </xdr:cNvSpPr>
      </xdr:nvSpPr>
      <xdr:spPr bwMode="auto">
        <a:xfrm>
          <a:off x="60579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257175</xdr:colOff>
      <xdr:row>37</xdr:row>
      <xdr:rowOff>0</xdr:rowOff>
    </xdr:from>
    <xdr:to>
      <xdr:col>16</xdr:col>
      <xdr:colOff>361950</xdr:colOff>
      <xdr:row>37</xdr:row>
      <xdr:rowOff>0</xdr:rowOff>
    </xdr:to>
    <xdr:sp macro="" textlink="">
      <xdr:nvSpPr>
        <xdr:cNvPr id="10" name="Line 17"/>
        <xdr:cNvSpPr>
          <a:spLocks noChangeShapeType="1"/>
        </xdr:cNvSpPr>
      </xdr:nvSpPr>
      <xdr:spPr bwMode="auto">
        <a:xfrm>
          <a:off x="6019800" y="7191375"/>
          <a:ext cx="388620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9</xdr:col>
      <xdr:colOff>0</xdr:colOff>
      <xdr:row>28</xdr:row>
      <xdr:rowOff>0</xdr:rowOff>
    </xdr:to>
    <xdr:sp macro="" textlink="">
      <xdr:nvSpPr>
        <xdr:cNvPr id="11" name="Line 18"/>
        <xdr:cNvSpPr>
          <a:spLocks noChangeShapeType="1"/>
        </xdr:cNvSpPr>
      </xdr:nvSpPr>
      <xdr:spPr bwMode="auto">
        <a:xfrm>
          <a:off x="5400675" y="5476875"/>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9525</xdr:rowOff>
    </xdr:from>
    <xdr:to>
      <xdr:col>11</xdr:col>
      <xdr:colOff>0</xdr:colOff>
      <xdr:row>28</xdr:row>
      <xdr:rowOff>9525</xdr:rowOff>
    </xdr:to>
    <xdr:sp macro="" textlink="">
      <xdr:nvSpPr>
        <xdr:cNvPr id="12" name="Line 19"/>
        <xdr:cNvSpPr>
          <a:spLocks noChangeShapeType="1"/>
        </xdr:cNvSpPr>
      </xdr:nvSpPr>
      <xdr:spPr bwMode="auto">
        <a:xfrm>
          <a:off x="5762625" y="5486400"/>
          <a:ext cx="552450"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11</xdr:col>
      <xdr:colOff>0</xdr:colOff>
      <xdr:row>26</xdr:row>
      <xdr:rowOff>66675</xdr:rowOff>
    </xdr:to>
    <xdr:sp macro="" textlink="">
      <xdr:nvSpPr>
        <xdr:cNvPr id="13" name="Line 20"/>
        <xdr:cNvSpPr>
          <a:spLocks noChangeShapeType="1"/>
        </xdr:cNvSpPr>
      </xdr:nvSpPr>
      <xdr:spPr bwMode="auto">
        <a:xfrm>
          <a:off x="6315075" y="2238375"/>
          <a:ext cx="0" cy="292417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17</xdr:col>
      <xdr:colOff>0</xdr:colOff>
      <xdr:row>11</xdr:row>
      <xdr:rowOff>0</xdr:rowOff>
    </xdr:to>
    <xdr:sp macro="" textlink="">
      <xdr:nvSpPr>
        <xdr:cNvPr id="14" name="Line 22"/>
        <xdr:cNvSpPr>
          <a:spLocks noChangeShapeType="1"/>
        </xdr:cNvSpPr>
      </xdr:nvSpPr>
      <xdr:spPr bwMode="auto">
        <a:xfrm>
          <a:off x="6315075" y="2238375"/>
          <a:ext cx="392430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23</xdr:row>
      <xdr:rowOff>0</xdr:rowOff>
    </xdr:from>
    <xdr:to>
      <xdr:col>14</xdr:col>
      <xdr:colOff>0</xdr:colOff>
      <xdr:row>23</xdr:row>
      <xdr:rowOff>0</xdr:rowOff>
    </xdr:to>
    <xdr:sp macro="" textlink="">
      <xdr:nvSpPr>
        <xdr:cNvPr id="15" name="Line 23"/>
        <xdr:cNvSpPr>
          <a:spLocks noChangeShapeType="1"/>
        </xdr:cNvSpPr>
      </xdr:nvSpPr>
      <xdr:spPr bwMode="auto">
        <a:xfrm>
          <a:off x="6324600" y="4524375"/>
          <a:ext cx="198120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29</xdr:row>
      <xdr:rowOff>9525</xdr:rowOff>
    </xdr:from>
    <xdr:to>
      <xdr:col>14</xdr:col>
      <xdr:colOff>19050</xdr:colOff>
      <xdr:row>29</xdr:row>
      <xdr:rowOff>19050</xdr:rowOff>
    </xdr:to>
    <xdr:sp macro="" textlink="">
      <xdr:nvSpPr>
        <xdr:cNvPr id="16" name="Line 24"/>
        <xdr:cNvSpPr>
          <a:spLocks noChangeShapeType="1"/>
        </xdr:cNvSpPr>
      </xdr:nvSpPr>
      <xdr:spPr bwMode="auto">
        <a:xfrm flipV="1">
          <a:off x="6324600" y="5676900"/>
          <a:ext cx="2000250" cy="9525"/>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257175</xdr:colOff>
      <xdr:row>34</xdr:row>
      <xdr:rowOff>152400</xdr:rowOff>
    </xdr:from>
    <xdr:to>
      <xdr:col>16</xdr:col>
      <xdr:colOff>371475</xdr:colOff>
      <xdr:row>34</xdr:row>
      <xdr:rowOff>152400</xdr:rowOff>
    </xdr:to>
    <xdr:sp macro="" textlink="">
      <xdr:nvSpPr>
        <xdr:cNvPr id="17" name="Line 25"/>
        <xdr:cNvSpPr>
          <a:spLocks noChangeShapeType="1"/>
        </xdr:cNvSpPr>
      </xdr:nvSpPr>
      <xdr:spPr bwMode="auto">
        <a:xfrm>
          <a:off x="6315075" y="6772275"/>
          <a:ext cx="360045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9</xdr:col>
      <xdr:colOff>0</xdr:colOff>
      <xdr:row>13</xdr:row>
      <xdr:rowOff>0</xdr:rowOff>
    </xdr:to>
    <xdr:sp macro="" textlink="">
      <xdr:nvSpPr>
        <xdr:cNvPr id="18" name="Line 27"/>
        <xdr:cNvSpPr>
          <a:spLocks noChangeShapeType="1"/>
        </xdr:cNvSpPr>
      </xdr:nvSpPr>
      <xdr:spPr bwMode="auto">
        <a:xfrm>
          <a:off x="5400675" y="2619375"/>
          <a:ext cx="36195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13</xdr:row>
      <xdr:rowOff>0</xdr:rowOff>
    </xdr:from>
    <xdr:to>
      <xdr:col>9</xdr:col>
      <xdr:colOff>266700</xdr:colOff>
      <xdr:row>13</xdr:row>
      <xdr:rowOff>0</xdr:rowOff>
    </xdr:to>
    <xdr:sp macro="" textlink="">
      <xdr:nvSpPr>
        <xdr:cNvPr id="19" name="Line 29"/>
        <xdr:cNvSpPr>
          <a:spLocks noChangeShapeType="1"/>
        </xdr:cNvSpPr>
      </xdr:nvSpPr>
      <xdr:spPr bwMode="auto">
        <a:xfrm>
          <a:off x="5791200"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13</xdr:row>
      <xdr:rowOff>0</xdr:rowOff>
    </xdr:from>
    <xdr:to>
      <xdr:col>10</xdr:col>
      <xdr:colOff>266700</xdr:colOff>
      <xdr:row>13</xdr:row>
      <xdr:rowOff>0</xdr:rowOff>
    </xdr:to>
    <xdr:sp macro="" textlink="">
      <xdr:nvSpPr>
        <xdr:cNvPr id="20" name="Line 30"/>
        <xdr:cNvSpPr>
          <a:spLocks noChangeShapeType="1"/>
        </xdr:cNvSpPr>
      </xdr:nvSpPr>
      <xdr:spPr bwMode="auto">
        <a:xfrm>
          <a:off x="6105525" y="26193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13</xdr:row>
      <xdr:rowOff>0</xdr:rowOff>
    </xdr:from>
    <xdr:to>
      <xdr:col>16</xdr:col>
      <xdr:colOff>371475</xdr:colOff>
      <xdr:row>13</xdr:row>
      <xdr:rowOff>0</xdr:rowOff>
    </xdr:to>
    <xdr:sp macro="" textlink="">
      <xdr:nvSpPr>
        <xdr:cNvPr id="21" name="Line 32"/>
        <xdr:cNvSpPr>
          <a:spLocks noChangeShapeType="1"/>
        </xdr:cNvSpPr>
      </xdr:nvSpPr>
      <xdr:spPr bwMode="auto">
        <a:xfrm>
          <a:off x="6400800" y="2619375"/>
          <a:ext cx="3514725"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16</xdr:row>
      <xdr:rowOff>0</xdr:rowOff>
    </xdr:from>
    <xdr:to>
      <xdr:col>15</xdr:col>
      <xdr:colOff>0</xdr:colOff>
      <xdr:row>21</xdr:row>
      <xdr:rowOff>152400</xdr:rowOff>
    </xdr:to>
    <xdr:sp macro="" textlink="">
      <xdr:nvSpPr>
        <xdr:cNvPr id="22" name="Line 37"/>
        <xdr:cNvSpPr>
          <a:spLocks noChangeShapeType="1"/>
        </xdr:cNvSpPr>
      </xdr:nvSpPr>
      <xdr:spPr bwMode="auto">
        <a:xfrm>
          <a:off x="8915400" y="3190875"/>
          <a:ext cx="0" cy="110490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228600</xdr:colOff>
      <xdr:row>14</xdr:row>
      <xdr:rowOff>28575</xdr:rowOff>
    </xdr:from>
    <xdr:to>
      <xdr:col>18</xdr:col>
      <xdr:colOff>228600</xdr:colOff>
      <xdr:row>16</xdr:row>
      <xdr:rowOff>28575</xdr:rowOff>
    </xdr:to>
    <xdr:sp macro="" textlink="">
      <xdr:nvSpPr>
        <xdr:cNvPr id="23" name="Line 38"/>
        <xdr:cNvSpPr>
          <a:spLocks noChangeShapeType="1"/>
        </xdr:cNvSpPr>
      </xdr:nvSpPr>
      <xdr:spPr bwMode="auto">
        <a:xfrm>
          <a:off x="11077575" y="2838450"/>
          <a:ext cx="0" cy="38100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161925</xdr:colOff>
      <xdr:row>15</xdr:row>
      <xdr:rowOff>152400</xdr:rowOff>
    </xdr:from>
    <xdr:to>
      <xdr:col>24</xdr:col>
      <xdr:colOff>161925</xdr:colOff>
      <xdr:row>23</xdr:row>
      <xdr:rowOff>133350</xdr:rowOff>
    </xdr:to>
    <xdr:sp macro="" textlink="">
      <xdr:nvSpPr>
        <xdr:cNvPr id="24" name="Line 40"/>
        <xdr:cNvSpPr>
          <a:spLocks noChangeShapeType="1"/>
        </xdr:cNvSpPr>
      </xdr:nvSpPr>
      <xdr:spPr bwMode="auto">
        <a:xfrm>
          <a:off x="15078075" y="3152775"/>
          <a:ext cx="0" cy="150495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219075</xdr:colOff>
      <xdr:row>16</xdr:row>
      <xdr:rowOff>0</xdr:rowOff>
    </xdr:from>
    <xdr:to>
      <xdr:col>17</xdr:col>
      <xdr:colOff>228600</xdr:colOff>
      <xdr:row>34</xdr:row>
      <xdr:rowOff>0</xdr:rowOff>
    </xdr:to>
    <xdr:sp macro="" textlink="">
      <xdr:nvSpPr>
        <xdr:cNvPr id="25" name="Line 42"/>
        <xdr:cNvSpPr>
          <a:spLocks noChangeShapeType="1"/>
        </xdr:cNvSpPr>
      </xdr:nvSpPr>
      <xdr:spPr bwMode="auto">
        <a:xfrm flipH="1">
          <a:off x="10458450" y="3190875"/>
          <a:ext cx="9525" cy="3429000"/>
        </a:xfrm>
        <a:prstGeom prst="line">
          <a:avLst/>
        </a:prstGeom>
        <a:noFill/>
        <a:ln w="9525">
          <a:solidFill>
            <a:srgbClr val="000000"/>
          </a:solidFill>
          <a:prstDash val="lgDashDot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19</xdr:row>
      <xdr:rowOff>9525</xdr:rowOff>
    </xdr:from>
    <xdr:to>
      <xdr:col>23</xdr:col>
      <xdr:colOff>0</xdr:colOff>
      <xdr:row>19</xdr:row>
      <xdr:rowOff>9525</xdr:rowOff>
    </xdr:to>
    <xdr:sp macro="" textlink="">
      <xdr:nvSpPr>
        <xdr:cNvPr id="26" name="Line 43"/>
        <xdr:cNvSpPr>
          <a:spLocks noChangeShapeType="1"/>
        </xdr:cNvSpPr>
      </xdr:nvSpPr>
      <xdr:spPr bwMode="auto">
        <a:xfrm>
          <a:off x="9544050" y="3771900"/>
          <a:ext cx="47625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19</xdr:row>
      <xdr:rowOff>9525</xdr:rowOff>
    </xdr:from>
    <xdr:to>
      <xdr:col>16</xdr:col>
      <xdr:colOff>0</xdr:colOff>
      <xdr:row>21</xdr:row>
      <xdr:rowOff>152400</xdr:rowOff>
    </xdr:to>
    <xdr:sp macro="" textlink="">
      <xdr:nvSpPr>
        <xdr:cNvPr id="27" name="Line 44"/>
        <xdr:cNvSpPr>
          <a:spLocks noChangeShapeType="1"/>
        </xdr:cNvSpPr>
      </xdr:nvSpPr>
      <xdr:spPr bwMode="auto">
        <a:xfrm>
          <a:off x="9544050" y="3771900"/>
          <a:ext cx="0" cy="5238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0</xdr:colOff>
      <xdr:row>19</xdr:row>
      <xdr:rowOff>9525</xdr:rowOff>
    </xdr:from>
    <xdr:to>
      <xdr:col>23</xdr:col>
      <xdr:colOff>0</xdr:colOff>
      <xdr:row>23</xdr:row>
      <xdr:rowOff>152400</xdr:rowOff>
    </xdr:to>
    <xdr:sp macro="" textlink="">
      <xdr:nvSpPr>
        <xdr:cNvPr id="28" name="Line 45"/>
        <xdr:cNvSpPr>
          <a:spLocks noChangeShapeType="1"/>
        </xdr:cNvSpPr>
      </xdr:nvSpPr>
      <xdr:spPr bwMode="auto">
        <a:xfrm>
          <a:off x="14306550" y="3771900"/>
          <a:ext cx="0" cy="9048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14</xdr:row>
      <xdr:rowOff>9525</xdr:rowOff>
    </xdr:from>
    <xdr:to>
      <xdr:col>20</xdr:col>
      <xdr:colOff>0</xdr:colOff>
      <xdr:row>15</xdr:row>
      <xdr:rowOff>85725</xdr:rowOff>
    </xdr:to>
    <xdr:sp macro="" textlink="">
      <xdr:nvSpPr>
        <xdr:cNvPr id="29" name="Line 46"/>
        <xdr:cNvSpPr>
          <a:spLocks noChangeShapeType="1"/>
        </xdr:cNvSpPr>
      </xdr:nvSpPr>
      <xdr:spPr bwMode="auto">
        <a:xfrm>
          <a:off x="12220575" y="2819400"/>
          <a:ext cx="0" cy="26670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16</xdr:row>
      <xdr:rowOff>47625</xdr:rowOff>
    </xdr:from>
    <xdr:to>
      <xdr:col>20</xdr:col>
      <xdr:colOff>0</xdr:colOff>
      <xdr:row>18</xdr:row>
      <xdr:rowOff>152400</xdr:rowOff>
    </xdr:to>
    <xdr:sp macro="" textlink="">
      <xdr:nvSpPr>
        <xdr:cNvPr id="30" name="Line 47"/>
        <xdr:cNvSpPr>
          <a:spLocks noChangeShapeType="1"/>
        </xdr:cNvSpPr>
      </xdr:nvSpPr>
      <xdr:spPr bwMode="auto">
        <a:xfrm>
          <a:off x="12220575" y="3238500"/>
          <a:ext cx="0" cy="485775"/>
        </a:xfrm>
        <a:prstGeom prst="line">
          <a:avLst/>
        </a:prstGeom>
        <a:noFill/>
        <a:ln w="9525">
          <a:solidFill>
            <a:srgbClr val="000000"/>
          </a:solidFill>
          <a:prstDash val="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19</xdr:row>
      <xdr:rowOff>9525</xdr:rowOff>
    </xdr:from>
    <xdr:to>
      <xdr:col>19</xdr:col>
      <xdr:colOff>0</xdr:colOff>
      <xdr:row>34</xdr:row>
      <xdr:rowOff>0</xdr:rowOff>
    </xdr:to>
    <xdr:sp macro="" textlink="">
      <xdr:nvSpPr>
        <xdr:cNvPr id="31" name="Line 48"/>
        <xdr:cNvSpPr>
          <a:spLocks noChangeShapeType="1"/>
        </xdr:cNvSpPr>
      </xdr:nvSpPr>
      <xdr:spPr bwMode="auto">
        <a:xfrm>
          <a:off x="11458575" y="3771900"/>
          <a:ext cx="0" cy="28479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30</xdr:row>
      <xdr:rowOff>104775</xdr:rowOff>
    </xdr:from>
    <xdr:to>
      <xdr:col>28</xdr:col>
      <xdr:colOff>0</xdr:colOff>
      <xdr:row>30</xdr:row>
      <xdr:rowOff>104775</xdr:rowOff>
    </xdr:to>
    <xdr:sp macro="" textlink="">
      <xdr:nvSpPr>
        <xdr:cNvPr id="32" name="Line 55"/>
        <xdr:cNvSpPr>
          <a:spLocks noChangeShapeType="1"/>
        </xdr:cNvSpPr>
      </xdr:nvSpPr>
      <xdr:spPr bwMode="auto">
        <a:xfrm>
          <a:off x="16221075" y="5962650"/>
          <a:ext cx="1390650" cy="0"/>
        </a:xfrm>
        <a:prstGeom prst="line">
          <a:avLst/>
        </a:prstGeom>
        <a:noFill/>
        <a:ln w="127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295275</xdr:colOff>
      <xdr:row>30</xdr:row>
      <xdr:rowOff>104775</xdr:rowOff>
    </xdr:from>
    <xdr:to>
      <xdr:col>19</xdr:col>
      <xdr:colOff>295275</xdr:colOff>
      <xdr:row>33</xdr:row>
      <xdr:rowOff>152400</xdr:rowOff>
    </xdr:to>
    <xdr:sp macro="" textlink="">
      <xdr:nvSpPr>
        <xdr:cNvPr id="33" name="Line 57"/>
        <xdr:cNvSpPr>
          <a:spLocks noChangeShapeType="1"/>
        </xdr:cNvSpPr>
      </xdr:nvSpPr>
      <xdr:spPr bwMode="auto">
        <a:xfrm>
          <a:off x="11753850" y="5962650"/>
          <a:ext cx="0" cy="619125"/>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200025</xdr:colOff>
      <xdr:row>16</xdr:row>
      <xdr:rowOff>0</xdr:rowOff>
    </xdr:to>
    <xdr:sp macro="" textlink="">
      <xdr:nvSpPr>
        <xdr:cNvPr id="34" name="Line 70"/>
        <xdr:cNvSpPr>
          <a:spLocks noChangeShapeType="1"/>
        </xdr:cNvSpPr>
      </xdr:nvSpPr>
      <xdr:spPr bwMode="auto">
        <a:xfrm>
          <a:off x="5762625" y="3190875"/>
          <a:ext cx="2000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16</xdr:row>
      <xdr:rowOff>0</xdr:rowOff>
    </xdr:from>
    <xdr:to>
      <xdr:col>10</xdr:col>
      <xdr:colOff>200025</xdr:colOff>
      <xdr:row>16</xdr:row>
      <xdr:rowOff>0</xdr:rowOff>
    </xdr:to>
    <xdr:sp macro="" textlink="">
      <xdr:nvSpPr>
        <xdr:cNvPr id="35" name="Line 72"/>
        <xdr:cNvSpPr>
          <a:spLocks noChangeShapeType="1"/>
        </xdr:cNvSpPr>
      </xdr:nvSpPr>
      <xdr:spPr bwMode="auto">
        <a:xfrm>
          <a:off x="6096000" y="3190875"/>
          <a:ext cx="1619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12</xdr:col>
      <xdr:colOff>38100</xdr:colOff>
      <xdr:row>16</xdr:row>
      <xdr:rowOff>0</xdr:rowOff>
    </xdr:from>
    <xdr:to>
      <xdr:col>24</xdr:col>
      <xdr:colOff>171450</xdr:colOff>
      <xdr:row>16</xdr:row>
      <xdr:rowOff>0</xdr:rowOff>
    </xdr:to>
    <xdr:sp macro="" textlink="">
      <xdr:nvSpPr>
        <xdr:cNvPr id="36" name="Line 73"/>
        <xdr:cNvSpPr>
          <a:spLocks noChangeShapeType="1"/>
        </xdr:cNvSpPr>
      </xdr:nvSpPr>
      <xdr:spPr bwMode="auto">
        <a:xfrm>
          <a:off x="7029450" y="3190875"/>
          <a:ext cx="80581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19</xdr:row>
      <xdr:rowOff>0</xdr:rowOff>
    </xdr:from>
    <xdr:to>
      <xdr:col>9</xdr:col>
      <xdr:colOff>219075</xdr:colOff>
      <xdr:row>19</xdr:row>
      <xdr:rowOff>0</xdr:rowOff>
    </xdr:to>
    <xdr:sp macro="" textlink="">
      <xdr:nvSpPr>
        <xdr:cNvPr id="37" name="Line 74"/>
        <xdr:cNvSpPr>
          <a:spLocks noChangeShapeType="1"/>
        </xdr:cNvSpPr>
      </xdr:nvSpPr>
      <xdr:spPr bwMode="auto">
        <a:xfrm>
          <a:off x="5772150" y="3762375"/>
          <a:ext cx="20955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19</xdr:row>
      <xdr:rowOff>0</xdr:rowOff>
    </xdr:from>
    <xdr:to>
      <xdr:col>10</xdr:col>
      <xdr:colOff>228600</xdr:colOff>
      <xdr:row>19</xdr:row>
      <xdr:rowOff>0</xdr:rowOff>
    </xdr:to>
    <xdr:sp macro="" textlink="">
      <xdr:nvSpPr>
        <xdr:cNvPr id="38" name="Line 75"/>
        <xdr:cNvSpPr>
          <a:spLocks noChangeShapeType="1"/>
        </xdr:cNvSpPr>
      </xdr:nvSpPr>
      <xdr:spPr bwMode="auto">
        <a:xfrm>
          <a:off x="6096000" y="3762375"/>
          <a:ext cx="1905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19</xdr:row>
      <xdr:rowOff>0</xdr:rowOff>
    </xdr:from>
    <xdr:to>
      <xdr:col>16</xdr:col>
      <xdr:colOff>0</xdr:colOff>
      <xdr:row>19</xdr:row>
      <xdr:rowOff>0</xdr:rowOff>
    </xdr:to>
    <xdr:sp macro="" textlink="">
      <xdr:nvSpPr>
        <xdr:cNvPr id="39" name="Line 76"/>
        <xdr:cNvSpPr>
          <a:spLocks noChangeShapeType="1"/>
        </xdr:cNvSpPr>
      </xdr:nvSpPr>
      <xdr:spPr bwMode="auto">
        <a:xfrm>
          <a:off x="6381750" y="3762375"/>
          <a:ext cx="31623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16</xdr:row>
      <xdr:rowOff>0</xdr:rowOff>
    </xdr:from>
    <xdr:to>
      <xdr:col>8</xdr:col>
      <xdr:colOff>352425</xdr:colOff>
      <xdr:row>16</xdr:row>
      <xdr:rowOff>0</xdr:rowOff>
    </xdr:to>
    <xdr:sp macro="" textlink="">
      <xdr:nvSpPr>
        <xdr:cNvPr id="40" name="Line 77"/>
        <xdr:cNvSpPr>
          <a:spLocks noChangeShapeType="1"/>
        </xdr:cNvSpPr>
      </xdr:nvSpPr>
      <xdr:spPr bwMode="auto">
        <a:xfrm>
          <a:off x="5410200" y="3190875"/>
          <a:ext cx="3429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19</xdr:row>
      <xdr:rowOff>0</xdr:rowOff>
    </xdr:from>
    <xdr:to>
      <xdr:col>8</xdr:col>
      <xdr:colOff>371475</xdr:colOff>
      <xdr:row>19</xdr:row>
      <xdr:rowOff>0</xdr:rowOff>
    </xdr:to>
    <xdr:sp macro="" textlink="">
      <xdr:nvSpPr>
        <xdr:cNvPr id="41" name="Line 78"/>
        <xdr:cNvSpPr>
          <a:spLocks noChangeShapeType="1"/>
        </xdr:cNvSpPr>
      </xdr:nvSpPr>
      <xdr:spPr bwMode="auto">
        <a:xfrm>
          <a:off x="5410200" y="3762375"/>
          <a:ext cx="3524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47625</xdr:colOff>
      <xdr:row>16</xdr:row>
      <xdr:rowOff>0</xdr:rowOff>
    </xdr:from>
    <xdr:to>
      <xdr:col>12</xdr:col>
      <xdr:colOff>9525</xdr:colOff>
      <xdr:row>16</xdr:row>
      <xdr:rowOff>0</xdr:rowOff>
    </xdr:to>
    <xdr:sp macro="" textlink="">
      <xdr:nvSpPr>
        <xdr:cNvPr id="42" name="Line 79"/>
        <xdr:cNvSpPr>
          <a:spLocks noChangeShapeType="1"/>
        </xdr:cNvSpPr>
      </xdr:nvSpPr>
      <xdr:spPr bwMode="auto">
        <a:xfrm>
          <a:off x="6362700" y="3190875"/>
          <a:ext cx="638175"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10</xdr:row>
      <xdr:rowOff>9525</xdr:rowOff>
    </xdr:from>
    <xdr:to>
      <xdr:col>10</xdr:col>
      <xdr:colOff>0</xdr:colOff>
      <xdr:row>36</xdr:row>
      <xdr:rowOff>152400</xdr:rowOff>
    </xdr:to>
    <xdr:sp macro="" textlink="">
      <xdr:nvSpPr>
        <xdr:cNvPr id="43" name="Line 81"/>
        <xdr:cNvSpPr>
          <a:spLocks noChangeShapeType="1"/>
        </xdr:cNvSpPr>
      </xdr:nvSpPr>
      <xdr:spPr bwMode="auto">
        <a:xfrm>
          <a:off x="6057900" y="2057400"/>
          <a:ext cx="0" cy="50958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76200</xdr:colOff>
      <xdr:row>30</xdr:row>
      <xdr:rowOff>104775</xdr:rowOff>
    </xdr:from>
    <xdr:to>
      <xdr:col>25</xdr:col>
      <xdr:colOff>333375</xdr:colOff>
      <xdr:row>30</xdr:row>
      <xdr:rowOff>104775</xdr:rowOff>
    </xdr:to>
    <xdr:sp macro="" textlink="">
      <xdr:nvSpPr>
        <xdr:cNvPr id="44" name="Line 85"/>
        <xdr:cNvSpPr>
          <a:spLocks noChangeShapeType="1"/>
        </xdr:cNvSpPr>
      </xdr:nvSpPr>
      <xdr:spPr bwMode="auto">
        <a:xfrm>
          <a:off x="11534775" y="5962650"/>
          <a:ext cx="4410075"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30</xdr:row>
      <xdr:rowOff>85725</xdr:rowOff>
    </xdr:from>
    <xdr:to>
      <xdr:col>17</xdr:col>
      <xdr:colOff>180975</xdr:colOff>
      <xdr:row>30</xdr:row>
      <xdr:rowOff>85725</xdr:rowOff>
    </xdr:to>
    <xdr:sp macro="" textlink="">
      <xdr:nvSpPr>
        <xdr:cNvPr id="45" name="Line 87"/>
        <xdr:cNvSpPr>
          <a:spLocks noChangeShapeType="1"/>
        </xdr:cNvSpPr>
      </xdr:nvSpPr>
      <xdr:spPr bwMode="auto">
        <a:xfrm>
          <a:off x="9915525" y="5943600"/>
          <a:ext cx="504825"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254793</xdr:colOff>
      <xdr:row>30</xdr:row>
      <xdr:rowOff>85725</xdr:rowOff>
    </xdr:from>
    <xdr:to>
      <xdr:col>18</xdr:col>
      <xdr:colOff>330993</xdr:colOff>
      <xdr:row>30</xdr:row>
      <xdr:rowOff>85725</xdr:rowOff>
    </xdr:to>
    <xdr:sp macro="" textlink="">
      <xdr:nvSpPr>
        <xdr:cNvPr id="46" name="Line 88"/>
        <xdr:cNvSpPr>
          <a:spLocks noChangeShapeType="1"/>
        </xdr:cNvSpPr>
      </xdr:nvSpPr>
      <xdr:spPr bwMode="auto">
        <a:xfrm>
          <a:off x="10494168" y="5943600"/>
          <a:ext cx="685800"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26</xdr:row>
      <xdr:rowOff>0</xdr:rowOff>
    </xdr:from>
    <xdr:to>
      <xdr:col>21</xdr:col>
      <xdr:colOff>0</xdr:colOff>
      <xdr:row>30</xdr:row>
      <xdr:rowOff>104775</xdr:rowOff>
    </xdr:to>
    <xdr:sp macro="" textlink="">
      <xdr:nvSpPr>
        <xdr:cNvPr id="47" name="Line 89"/>
        <xdr:cNvSpPr>
          <a:spLocks noChangeShapeType="1"/>
        </xdr:cNvSpPr>
      </xdr:nvSpPr>
      <xdr:spPr bwMode="auto">
        <a:xfrm>
          <a:off x="12925425" y="5095875"/>
          <a:ext cx="0" cy="866775"/>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26</xdr:row>
      <xdr:rowOff>0</xdr:rowOff>
    </xdr:from>
    <xdr:to>
      <xdr:col>22</xdr:col>
      <xdr:colOff>9525</xdr:colOff>
      <xdr:row>26</xdr:row>
      <xdr:rowOff>0</xdr:rowOff>
    </xdr:to>
    <xdr:sp macro="" textlink="">
      <xdr:nvSpPr>
        <xdr:cNvPr id="48" name="Line 90"/>
        <xdr:cNvSpPr>
          <a:spLocks noChangeShapeType="1"/>
        </xdr:cNvSpPr>
      </xdr:nvSpPr>
      <xdr:spPr bwMode="auto">
        <a:xfrm>
          <a:off x="12925425" y="5095875"/>
          <a:ext cx="781050" cy="0"/>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9525</xdr:colOff>
      <xdr:row>26</xdr:row>
      <xdr:rowOff>0</xdr:rowOff>
    </xdr:from>
    <xdr:to>
      <xdr:col>25</xdr:col>
      <xdr:colOff>352425</xdr:colOff>
      <xdr:row>26</xdr:row>
      <xdr:rowOff>0</xdr:rowOff>
    </xdr:to>
    <xdr:sp macro="" textlink="">
      <xdr:nvSpPr>
        <xdr:cNvPr id="49" name="Line 91"/>
        <xdr:cNvSpPr>
          <a:spLocks noChangeShapeType="1"/>
        </xdr:cNvSpPr>
      </xdr:nvSpPr>
      <xdr:spPr bwMode="auto">
        <a:xfrm>
          <a:off x="15621000" y="5095875"/>
          <a:ext cx="342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26</xdr:row>
      <xdr:rowOff>0</xdr:rowOff>
    </xdr:from>
    <xdr:to>
      <xdr:col>27</xdr:col>
      <xdr:colOff>523875</xdr:colOff>
      <xdr:row>26</xdr:row>
      <xdr:rowOff>0</xdr:rowOff>
    </xdr:to>
    <xdr:sp macro="" textlink="">
      <xdr:nvSpPr>
        <xdr:cNvPr id="50" name="Line 92"/>
        <xdr:cNvSpPr>
          <a:spLocks noChangeShapeType="1"/>
        </xdr:cNvSpPr>
      </xdr:nvSpPr>
      <xdr:spPr bwMode="auto">
        <a:xfrm>
          <a:off x="16221075" y="5095875"/>
          <a:ext cx="13049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27</xdr:row>
      <xdr:rowOff>66675</xdr:rowOff>
    </xdr:from>
    <xdr:to>
      <xdr:col>11</xdr:col>
      <xdr:colOff>0</xdr:colOff>
      <xdr:row>34</xdr:row>
      <xdr:rowOff>152400</xdr:rowOff>
    </xdr:to>
    <xdr:sp macro="" textlink="">
      <xdr:nvSpPr>
        <xdr:cNvPr id="51" name="Line 93"/>
        <xdr:cNvSpPr>
          <a:spLocks noChangeShapeType="1"/>
        </xdr:cNvSpPr>
      </xdr:nvSpPr>
      <xdr:spPr bwMode="auto">
        <a:xfrm>
          <a:off x="6315075" y="5353050"/>
          <a:ext cx="0" cy="141922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25</xdr:row>
      <xdr:rowOff>9525</xdr:rowOff>
    </xdr:from>
    <xdr:to>
      <xdr:col>8</xdr:col>
      <xdr:colOff>371475</xdr:colOff>
      <xdr:row>25</xdr:row>
      <xdr:rowOff>9525</xdr:rowOff>
    </xdr:to>
    <xdr:sp macro="" textlink="">
      <xdr:nvSpPr>
        <xdr:cNvPr id="52" name="Line 94"/>
        <xdr:cNvSpPr>
          <a:spLocks noChangeShapeType="1"/>
        </xdr:cNvSpPr>
      </xdr:nvSpPr>
      <xdr:spPr bwMode="auto">
        <a:xfrm>
          <a:off x="5400675" y="4914900"/>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381000</xdr:colOff>
      <xdr:row>16</xdr:row>
      <xdr:rowOff>85725</xdr:rowOff>
    </xdr:from>
    <xdr:to>
      <xdr:col>29</xdr:col>
      <xdr:colOff>0</xdr:colOff>
      <xdr:row>16</xdr:row>
      <xdr:rowOff>85725</xdr:rowOff>
    </xdr:to>
    <xdr:cxnSp macro="">
      <xdr:nvCxnSpPr>
        <xdr:cNvPr id="53" name="Straight Arrow Connector 2"/>
        <xdr:cNvCxnSpPr>
          <a:cxnSpLocks noChangeShapeType="1"/>
        </xdr:cNvCxnSpPr>
      </xdr:nvCxnSpPr>
      <xdr:spPr bwMode="auto">
        <a:xfrm>
          <a:off x="17383125" y="3276600"/>
          <a:ext cx="838200" cy="0"/>
        </a:xfrm>
        <a:prstGeom prst="straightConnector1">
          <a:avLst/>
        </a:prstGeom>
        <a:noFill/>
        <a:ln w="9525" algn="ctr">
          <a:solidFill>
            <a:srgbClr val="000000"/>
          </a:solidFill>
          <a:round/>
          <a:headEnd/>
          <a:tailEnd type="arrow" w="med" len="med"/>
        </a:ln>
      </xdr:spPr>
    </xdr:cxnSp>
    <xdr:clientData/>
  </xdr:twoCellAnchor>
  <xdr:twoCellAnchor>
    <xdr:from>
      <xdr:col>26</xdr:col>
      <xdr:colOff>28575</xdr:colOff>
      <xdr:row>16</xdr:row>
      <xdr:rowOff>85725</xdr:rowOff>
    </xdr:from>
    <xdr:to>
      <xdr:col>27</xdr:col>
      <xdr:colOff>447675</xdr:colOff>
      <xdr:row>16</xdr:row>
      <xdr:rowOff>85725</xdr:rowOff>
    </xdr:to>
    <xdr:cxnSp macro="">
      <xdr:nvCxnSpPr>
        <xdr:cNvPr id="54" name="Straight Arrow Connector 4"/>
        <xdr:cNvCxnSpPr>
          <a:cxnSpLocks noChangeShapeType="1"/>
        </xdr:cNvCxnSpPr>
      </xdr:nvCxnSpPr>
      <xdr:spPr bwMode="auto">
        <a:xfrm flipH="1">
          <a:off x="16249650" y="3276600"/>
          <a:ext cx="1200150" cy="0"/>
        </a:xfrm>
        <a:prstGeom prst="straightConnector1">
          <a:avLst/>
        </a:prstGeom>
        <a:noFill/>
        <a:ln w="9525" algn="ctr">
          <a:solidFill>
            <a:srgbClr val="000000"/>
          </a:solidFill>
          <a:round/>
          <a:headEnd/>
          <a:tailEnd type="arrow" w="med" len="med"/>
        </a:ln>
      </xdr:spPr>
    </xdr:cxnSp>
    <xdr:clientData/>
  </xdr:twoCellAnchor>
  <xdr:twoCellAnchor>
    <xdr:from>
      <xdr:col>9</xdr:col>
      <xdr:colOff>0</xdr:colOff>
      <xdr:row>60</xdr:row>
      <xdr:rowOff>0</xdr:rowOff>
    </xdr:from>
    <xdr:to>
      <xdr:col>9</xdr:col>
      <xdr:colOff>0</xdr:colOff>
      <xdr:row>60</xdr:row>
      <xdr:rowOff>0</xdr:rowOff>
    </xdr:to>
    <xdr:sp macro="" textlink="">
      <xdr:nvSpPr>
        <xdr:cNvPr id="55" name="Line 4"/>
        <xdr:cNvSpPr>
          <a:spLocks noChangeShapeType="1"/>
        </xdr:cNvSpPr>
      </xdr:nvSpPr>
      <xdr:spPr bwMode="auto">
        <a:xfrm>
          <a:off x="5762625" y="11725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70</xdr:row>
      <xdr:rowOff>9525</xdr:rowOff>
    </xdr:from>
    <xdr:to>
      <xdr:col>10</xdr:col>
      <xdr:colOff>19050</xdr:colOff>
      <xdr:row>70</xdr:row>
      <xdr:rowOff>9525</xdr:rowOff>
    </xdr:to>
    <xdr:sp macro="" textlink="">
      <xdr:nvSpPr>
        <xdr:cNvPr id="56" name="Line 7"/>
        <xdr:cNvSpPr>
          <a:spLocks noChangeShapeType="1"/>
        </xdr:cNvSpPr>
      </xdr:nvSpPr>
      <xdr:spPr bwMode="auto">
        <a:xfrm>
          <a:off x="5772150" y="1363980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55</xdr:row>
      <xdr:rowOff>0</xdr:rowOff>
    </xdr:from>
    <xdr:to>
      <xdr:col>17</xdr:col>
      <xdr:colOff>0</xdr:colOff>
      <xdr:row>55</xdr:row>
      <xdr:rowOff>0</xdr:rowOff>
    </xdr:to>
    <xdr:sp macro="" textlink="">
      <xdr:nvSpPr>
        <xdr:cNvPr id="57" name="Line 9"/>
        <xdr:cNvSpPr>
          <a:spLocks noChangeShapeType="1"/>
        </xdr:cNvSpPr>
      </xdr:nvSpPr>
      <xdr:spPr bwMode="auto">
        <a:xfrm>
          <a:off x="6067425" y="10772775"/>
          <a:ext cx="417195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72</xdr:row>
      <xdr:rowOff>0</xdr:rowOff>
    </xdr:from>
    <xdr:to>
      <xdr:col>12</xdr:col>
      <xdr:colOff>9525</xdr:colOff>
      <xdr:row>72</xdr:row>
      <xdr:rowOff>0</xdr:rowOff>
    </xdr:to>
    <xdr:sp macro="" textlink="">
      <xdr:nvSpPr>
        <xdr:cNvPr id="58" name="Line 10"/>
        <xdr:cNvSpPr>
          <a:spLocks noChangeShapeType="1"/>
        </xdr:cNvSpPr>
      </xdr:nvSpPr>
      <xdr:spPr bwMode="auto">
        <a:xfrm>
          <a:off x="6057900" y="14011275"/>
          <a:ext cx="9429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70</xdr:row>
      <xdr:rowOff>9525</xdr:rowOff>
    </xdr:from>
    <xdr:to>
      <xdr:col>12</xdr:col>
      <xdr:colOff>0</xdr:colOff>
      <xdr:row>72</xdr:row>
      <xdr:rowOff>0</xdr:rowOff>
    </xdr:to>
    <xdr:sp macro="" textlink="">
      <xdr:nvSpPr>
        <xdr:cNvPr id="59" name="Line 12"/>
        <xdr:cNvSpPr>
          <a:spLocks noChangeShapeType="1"/>
        </xdr:cNvSpPr>
      </xdr:nvSpPr>
      <xdr:spPr bwMode="auto">
        <a:xfrm>
          <a:off x="6991350" y="13639800"/>
          <a:ext cx="0" cy="3714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70</xdr:row>
      <xdr:rowOff>9525</xdr:rowOff>
    </xdr:from>
    <xdr:to>
      <xdr:col>14</xdr:col>
      <xdr:colOff>15875</xdr:colOff>
      <xdr:row>70</xdr:row>
      <xdr:rowOff>15875</xdr:rowOff>
    </xdr:to>
    <xdr:sp macro="" textlink="">
      <xdr:nvSpPr>
        <xdr:cNvPr id="60" name="Line 14"/>
        <xdr:cNvSpPr>
          <a:spLocks noChangeShapeType="1"/>
        </xdr:cNvSpPr>
      </xdr:nvSpPr>
      <xdr:spPr bwMode="auto">
        <a:xfrm>
          <a:off x="6096000" y="13639800"/>
          <a:ext cx="2225675" cy="635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72</xdr:row>
      <xdr:rowOff>9525</xdr:rowOff>
    </xdr:from>
    <xdr:to>
      <xdr:col>14</xdr:col>
      <xdr:colOff>9525</xdr:colOff>
      <xdr:row>72</xdr:row>
      <xdr:rowOff>9525</xdr:rowOff>
    </xdr:to>
    <xdr:sp macro="" textlink="">
      <xdr:nvSpPr>
        <xdr:cNvPr id="61" name="Line 15"/>
        <xdr:cNvSpPr>
          <a:spLocks noChangeShapeType="1"/>
        </xdr:cNvSpPr>
      </xdr:nvSpPr>
      <xdr:spPr bwMode="auto">
        <a:xfrm>
          <a:off x="6991350" y="14020800"/>
          <a:ext cx="1323975"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83</xdr:row>
      <xdr:rowOff>0</xdr:rowOff>
    </xdr:from>
    <xdr:to>
      <xdr:col>9</xdr:col>
      <xdr:colOff>266700</xdr:colOff>
      <xdr:row>83</xdr:row>
      <xdr:rowOff>0</xdr:rowOff>
    </xdr:to>
    <xdr:sp macro="" textlink="">
      <xdr:nvSpPr>
        <xdr:cNvPr id="62" name="Line 16"/>
        <xdr:cNvSpPr>
          <a:spLocks noChangeShapeType="1"/>
        </xdr:cNvSpPr>
      </xdr:nvSpPr>
      <xdr:spPr bwMode="auto">
        <a:xfrm>
          <a:off x="6057900" y="16106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257175</xdr:colOff>
      <xdr:row>82</xdr:row>
      <xdr:rowOff>0</xdr:rowOff>
    </xdr:from>
    <xdr:to>
      <xdr:col>16</xdr:col>
      <xdr:colOff>361950</xdr:colOff>
      <xdr:row>82</xdr:row>
      <xdr:rowOff>0</xdr:rowOff>
    </xdr:to>
    <xdr:sp macro="" textlink="">
      <xdr:nvSpPr>
        <xdr:cNvPr id="63" name="Line 17"/>
        <xdr:cNvSpPr>
          <a:spLocks noChangeShapeType="1"/>
        </xdr:cNvSpPr>
      </xdr:nvSpPr>
      <xdr:spPr bwMode="auto">
        <a:xfrm>
          <a:off x="6019800" y="15916275"/>
          <a:ext cx="388620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73</xdr:row>
      <xdr:rowOff>0</xdr:rowOff>
    </xdr:from>
    <xdr:to>
      <xdr:col>9</xdr:col>
      <xdr:colOff>0</xdr:colOff>
      <xdr:row>73</xdr:row>
      <xdr:rowOff>0</xdr:rowOff>
    </xdr:to>
    <xdr:sp macro="" textlink="">
      <xdr:nvSpPr>
        <xdr:cNvPr id="64" name="Line 18"/>
        <xdr:cNvSpPr>
          <a:spLocks noChangeShapeType="1"/>
        </xdr:cNvSpPr>
      </xdr:nvSpPr>
      <xdr:spPr bwMode="auto">
        <a:xfrm>
          <a:off x="5400675" y="14201775"/>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73</xdr:row>
      <xdr:rowOff>9525</xdr:rowOff>
    </xdr:from>
    <xdr:to>
      <xdr:col>11</xdr:col>
      <xdr:colOff>0</xdr:colOff>
      <xdr:row>73</xdr:row>
      <xdr:rowOff>9525</xdr:rowOff>
    </xdr:to>
    <xdr:sp macro="" textlink="">
      <xdr:nvSpPr>
        <xdr:cNvPr id="65" name="Line 19"/>
        <xdr:cNvSpPr>
          <a:spLocks noChangeShapeType="1"/>
        </xdr:cNvSpPr>
      </xdr:nvSpPr>
      <xdr:spPr bwMode="auto">
        <a:xfrm>
          <a:off x="5762625" y="14211300"/>
          <a:ext cx="552450"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56</xdr:row>
      <xdr:rowOff>0</xdr:rowOff>
    </xdr:from>
    <xdr:to>
      <xdr:col>11</xdr:col>
      <xdr:colOff>0</xdr:colOff>
      <xdr:row>71</xdr:row>
      <xdr:rowOff>66675</xdr:rowOff>
    </xdr:to>
    <xdr:sp macro="" textlink="">
      <xdr:nvSpPr>
        <xdr:cNvPr id="66" name="Line 20"/>
        <xdr:cNvSpPr>
          <a:spLocks noChangeShapeType="1"/>
        </xdr:cNvSpPr>
      </xdr:nvSpPr>
      <xdr:spPr bwMode="auto">
        <a:xfrm>
          <a:off x="6315075" y="10963275"/>
          <a:ext cx="0" cy="292417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56</xdr:row>
      <xdr:rowOff>0</xdr:rowOff>
    </xdr:from>
    <xdr:to>
      <xdr:col>17</xdr:col>
      <xdr:colOff>0</xdr:colOff>
      <xdr:row>56</xdr:row>
      <xdr:rowOff>0</xdr:rowOff>
    </xdr:to>
    <xdr:sp macro="" textlink="">
      <xdr:nvSpPr>
        <xdr:cNvPr id="67" name="Line 22"/>
        <xdr:cNvSpPr>
          <a:spLocks noChangeShapeType="1"/>
        </xdr:cNvSpPr>
      </xdr:nvSpPr>
      <xdr:spPr bwMode="auto">
        <a:xfrm>
          <a:off x="6315075" y="10963275"/>
          <a:ext cx="392430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68</xdr:row>
      <xdr:rowOff>0</xdr:rowOff>
    </xdr:from>
    <xdr:to>
      <xdr:col>14</xdr:col>
      <xdr:colOff>0</xdr:colOff>
      <xdr:row>68</xdr:row>
      <xdr:rowOff>0</xdr:rowOff>
    </xdr:to>
    <xdr:sp macro="" textlink="">
      <xdr:nvSpPr>
        <xdr:cNvPr id="68" name="Line 23"/>
        <xdr:cNvSpPr>
          <a:spLocks noChangeShapeType="1"/>
        </xdr:cNvSpPr>
      </xdr:nvSpPr>
      <xdr:spPr bwMode="auto">
        <a:xfrm>
          <a:off x="6324600" y="13249275"/>
          <a:ext cx="198120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74</xdr:row>
      <xdr:rowOff>9525</xdr:rowOff>
    </xdr:from>
    <xdr:to>
      <xdr:col>14</xdr:col>
      <xdr:colOff>19050</xdr:colOff>
      <xdr:row>74</xdr:row>
      <xdr:rowOff>19050</xdr:rowOff>
    </xdr:to>
    <xdr:sp macro="" textlink="">
      <xdr:nvSpPr>
        <xdr:cNvPr id="69" name="Line 24"/>
        <xdr:cNvSpPr>
          <a:spLocks noChangeShapeType="1"/>
        </xdr:cNvSpPr>
      </xdr:nvSpPr>
      <xdr:spPr bwMode="auto">
        <a:xfrm flipV="1">
          <a:off x="6324600" y="14401800"/>
          <a:ext cx="2000250" cy="9525"/>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257175</xdr:colOff>
      <xdr:row>79</xdr:row>
      <xdr:rowOff>152400</xdr:rowOff>
    </xdr:from>
    <xdr:to>
      <xdr:col>16</xdr:col>
      <xdr:colOff>371475</xdr:colOff>
      <xdr:row>79</xdr:row>
      <xdr:rowOff>152400</xdr:rowOff>
    </xdr:to>
    <xdr:sp macro="" textlink="">
      <xdr:nvSpPr>
        <xdr:cNvPr id="70" name="Line 25"/>
        <xdr:cNvSpPr>
          <a:spLocks noChangeShapeType="1"/>
        </xdr:cNvSpPr>
      </xdr:nvSpPr>
      <xdr:spPr bwMode="auto">
        <a:xfrm>
          <a:off x="6315075" y="15497175"/>
          <a:ext cx="360045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0</xdr:rowOff>
    </xdr:from>
    <xdr:to>
      <xdr:col>9</xdr:col>
      <xdr:colOff>0</xdr:colOff>
      <xdr:row>58</xdr:row>
      <xdr:rowOff>0</xdr:rowOff>
    </xdr:to>
    <xdr:sp macro="" textlink="">
      <xdr:nvSpPr>
        <xdr:cNvPr id="71" name="Line 27"/>
        <xdr:cNvSpPr>
          <a:spLocks noChangeShapeType="1"/>
        </xdr:cNvSpPr>
      </xdr:nvSpPr>
      <xdr:spPr bwMode="auto">
        <a:xfrm>
          <a:off x="5400675" y="11344275"/>
          <a:ext cx="36195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58</xdr:row>
      <xdr:rowOff>0</xdr:rowOff>
    </xdr:from>
    <xdr:to>
      <xdr:col>9</xdr:col>
      <xdr:colOff>266700</xdr:colOff>
      <xdr:row>58</xdr:row>
      <xdr:rowOff>0</xdr:rowOff>
    </xdr:to>
    <xdr:sp macro="" textlink="">
      <xdr:nvSpPr>
        <xdr:cNvPr id="72" name="Line 29"/>
        <xdr:cNvSpPr>
          <a:spLocks noChangeShapeType="1"/>
        </xdr:cNvSpPr>
      </xdr:nvSpPr>
      <xdr:spPr bwMode="auto">
        <a:xfrm>
          <a:off x="5791200" y="113442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58</xdr:row>
      <xdr:rowOff>0</xdr:rowOff>
    </xdr:from>
    <xdr:to>
      <xdr:col>10</xdr:col>
      <xdr:colOff>266700</xdr:colOff>
      <xdr:row>58</xdr:row>
      <xdr:rowOff>0</xdr:rowOff>
    </xdr:to>
    <xdr:sp macro="" textlink="">
      <xdr:nvSpPr>
        <xdr:cNvPr id="73" name="Line 30"/>
        <xdr:cNvSpPr>
          <a:spLocks noChangeShapeType="1"/>
        </xdr:cNvSpPr>
      </xdr:nvSpPr>
      <xdr:spPr bwMode="auto">
        <a:xfrm>
          <a:off x="6105525" y="113442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58</xdr:row>
      <xdr:rowOff>0</xdr:rowOff>
    </xdr:from>
    <xdr:to>
      <xdr:col>16</xdr:col>
      <xdr:colOff>371475</xdr:colOff>
      <xdr:row>58</xdr:row>
      <xdr:rowOff>0</xdr:rowOff>
    </xdr:to>
    <xdr:sp macro="" textlink="">
      <xdr:nvSpPr>
        <xdr:cNvPr id="74" name="Line 32"/>
        <xdr:cNvSpPr>
          <a:spLocks noChangeShapeType="1"/>
        </xdr:cNvSpPr>
      </xdr:nvSpPr>
      <xdr:spPr bwMode="auto">
        <a:xfrm>
          <a:off x="6400800" y="11344275"/>
          <a:ext cx="3514725"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61</xdr:row>
      <xdr:rowOff>0</xdr:rowOff>
    </xdr:from>
    <xdr:to>
      <xdr:col>15</xdr:col>
      <xdr:colOff>0</xdr:colOff>
      <xdr:row>66</xdr:row>
      <xdr:rowOff>152400</xdr:rowOff>
    </xdr:to>
    <xdr:sp macro="" textlink="">
      <xdr:nvSpPr>
        <xdr:cNvPr id="75" name="Line 37"/>
        <xdr:cNvSpPr>
          <a:spLocks noChangeShapeType="1"/>
        </xdr:cNvSpPr>
      </xdr:nvSpPr>
      <xdr:spPr bwMode="auto">
        <a:xfrm>
          <a:off x="8915400" y="11915775"/>
          <a:ext cx="0" cy="110490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228600</xdr:colOff>
      <xdr:row>59</xdr:row>
      <xdr:rowOff>28575</xdr:rowOff>
    </xdr:from>
    <xdr:to>
      <xdr:col>18</xdr:col>
      <xdr:colOff>228600</xdr:colOff>
      <xdr:row>61</xdr:row>
      <xdr:rowOff>28575</xdr:rowOff>
    </xdr:to>
    <xdr:sp macro="" textlink="">
      <xdr:nvSpPr>
        <xdr:cNvPr id="76" name="Line 38"/>
        <xdr:cNvSpPr>
          <a:spLocks noChangeShapeType="1"/>
        </xdr:cNvSpPr>
      </xdr:nvSpPr>
      <xdr:spPr bwMode="auto">
        <a:xfrm>
          <a:off x="11077575" y="11563350"/>
          <a:ext cx="0" cy="38100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161925</xdr:colOff>
      <xdr:row>60</xdr:row>
      <xdr:rowOff>152400</xdr:rowOff>
    </xdr:from>
    <xdr:to>
      <xdr:col>24</xdr:col>
      <xdr:colOff>161925</xdr:colOff>
      <xdr:row>68</xdr:row>
      <xdr:rowOff>133350</xdr:rowOff>
    </xdr:to>
    <xdr:sp macro="" textlink="">
      <xdr:nvSpPr>
        <xdr:cNvPr id="77" name="Line 40"/>
        <xdr:cNvSpPr>
          <a:spLocks noChangeShapeType="1"/>
        </xdr:cNvSpPr>
      </xdr:nvSpPr>
      <xdr:spPr bwMode="auto">
        <a:xfrm>
          <a:off x="15078075" y="11877675"/>
          <a:ext cx="0" cy="150495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219075</xdr:colOff>
      <xdr:row>61</xdr:row>
      <xdr:rowOff>0</xdr:rowOff>
    </xdr:from>
    <xdr:to>
      <xdr:col>17</xdr:col>
      <xdr:colOff>228600</xdr:colOff>
      <xdr:row>79</xdr:row>
      <xdr:rowOff>0</xdr:rowOff>
    </xdr:to>
    <xdr:sp macro="" textlink="">
      <xdr:nvSpPr>
        <xdr:cNvPr id="78" name="Line 42"/>
        <xdr:cNvSpPr>
          <a:spLocks noChangeShapeType="1"/>
        </xdr:cNvSpPr>
      </xdr:nvSpPr>
      <xdr:spPr bwMode="auto">
        <a:xfrm flipH="1">
          <a:off x="10458450" y="11915775"/>
          <a:ext cx="9525" cy="3429000"/>
        </a:xfrm>
        <a:prstGeom prst="line">
          <a:avLst/>
        </a:prstGeom>
        <a:noFill/>
        <a:ln w="9525">
          <a:solidFill>
            <a:srgbClr val="000000"/>
          </a:solidFill>
          <a:prstDash val="lgDashDot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64</xdr:row>
      <xdr:rowOff>9525</xdr:rowOff>
    </xdr:from>
    <xdr:to>
      <xdr:col>23</xdr:col>
      <xdr:colOff>0</xdr:colOff>
      <xdr:row>64</xdr:row>
      <xdr:rowOff>9525</xdr:rowOff>
    </xdr:to>
    <xdr:sp macro="" textlink="">
      <xdr:nvSpPr>
        <xdr:cNvPr id="79" name="Line 43"/>
        <xdr:cNvSpPr>
          <a:spLocks noChangeShapeType="1"/>
        </xdr:cNvSpPr>
      </xdr:nvSpPr>
      <xdr:spPr bwMode="auto">
        <a:xfrm>
          <a:off x="9544050" y="12496800"/>
          <a:ext cx="47625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64</xdr:row>
      <xdr:rowOff>9525</xdr:rowOff>
    </xdr:from>
    <xdr:to>
      <xdr:col>16</xdr:col>
      <xdr:colOff>0</xdr:colOff>
      <xdr:row>66</xdr:row>
      <xdr:rowOff>152400</xdr:rowOff>
    </xdr:to>
    <xdr:sp macro="" textlink="">
      <xdr:nvSpPr>
        <xdr:cNvPr id="80" name="Line 44"/>
        <xdr:cNvSpPr>
          <a:spLocks noChangeShapeType="1"/>
        </xdr:cNvSpPr>
      </xdr:nvSpPr>
      <xdr:spPr bwMode="auto">
        <a:xfrm>
          <a:off x="9544050" y="12496800"/>
          <a:ext cx="0" cy="5238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0</xdr:colOff>
      <xdr:row>64</xdr:row>
      <xdr:rowOff>9525</xdr:rowOff>
    </xdr:from>
    <xdr:to>
      <xdr:col>23</xdr:col>
      <xdr:colOff>0</xdr:colOff>
      <xdr:row>68</xdr:row>
      <xdr:rowOff>152400</xdr:rowOff>
    </xdr:to>
    <xdr:sp macro="" textlink="">
      <xdr:nvSpPr>
        <xdr:cNvPr id="81" name="Line 45"/>
        <xdr:cNvSpPr>
          <a:spLocks noChangeShapeType="1"/>
        </xdr:cNvSpPr>
      </xdr:nvSpPr>
      <xdr:spPr bwMode="auto">
        <a:xfrm>
          <a:off x="14306550" y="12496800"/>
          <a:ext cx="0" cy="9048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59</xdr:row>
      <xdr:rowOff>9525</xdr:rowOff>
    </xdr:from>
    <xdr:to>
      <xdr:col>20</xdr:col>
      <xdr:colOff>0</xdr:colOff>
      <xdr:row>60</xdr:row>
      <xdr:rowOff>85725</xdr:rowOff>
    </xdr:to>
    <xdr:sp macro="" textlink="">
      <xdr:nvSpPr>
        <xdr:cNvPr id="82" name="Line 46"/>
        <xdr:cNvSpPr>
          <a:spLocks noChangeShapeType="1"/>
        </xdr:cNvSpPr>
      </xdr:nvSpPr>
      <xdr:spPr bwMode="auto">
        <a:xfrm>
          <a:off x="12220575" y="11544300"/>
          <a:ext cx="0" cy="26670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61</xdr:row>
      <xdr:rowOff>47625</xdr:rowOff>
    </xdr:from>
    <xdr:to>
      <xdr:col>20</xdr:col>
      <xdr:colOff>0</xdr:colOff>
      <xdr:row>63</xdr:row>
      <xdr:rowOff>152400</xdr:rowOff>
    </xdr:to>
    <xdr:sp macro="" textlink="">
      <xdr:nvSpPr>
        <xdr:cNvPr id="83" name="Line 47"/>
        <xdr:cNvSpPr>
          <a:spLocks noChangeShapeType="1"/>
        </xdr:cNvSpPr>
      </xdr:nvSpPr>
      <xdr:spPr bwMode="auto">
        <a:xfrm>
          <a:off x="12220575" y="11963400"/>
          <a:ext cx="0" cy="485775"/>
        </a:xfrm>
        <a:prstGeom prst="line">
          <a:avLst/>
        </a:prstGeom>
        <a:noFill/>
        <a:ln w="9525">
          <a:solidFill>
            <a:srgbClr val="000000"/>
          </a:solidFill>
          <a:prstDash val="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64</xdr:row>
      <xdr:rowOff>9525</xdr:rowOff>
    </xdr:from>
    <xdr:to>
      <xdr:col>19</xdr:col>
      <xdr:colOff>0</xdr:colOff>
      <xdr:row>79</xdr:row>
      <xdr:rowOff>0</xdr:rowOff>
    </xdr:to>
    <xdr:sp macro="" textlink="">
      <xdr:nvSpPr>
        <xdr:cNvPr id="84" name="Line 48"/>
        <xdr:cNvSpPr>
          <a:spLocks noChangeShapeType="1"/>
        </xdr:cNvSpPr>
      </xdr:nvSpPr>
      <xdr:spPr bwMode="auto">
        <a:xfrm>
          <a:off x="11458575" y="12496800"/>
          <a:ext cx="0" cy="28479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75</xdr:row>
      <xdr:rowOff>104775</xdr:rowOff>
    </xdr:from>
    <xdr:to>
      <xdr:col>28</xdr:col>
      <xdr:colOff>0</xdr:colOff>
      <xdr:row>75</xdr:row>
      <xdr:rowOff>104775</xdr:rowOff>
    </xdr:to>
    <xdr:sp macro="" textlink="">
      <xdr:nvSpPr>
        <xdr:cNvPr id="85" name="Line 55"/>
        <xdr:cNvSpPr>
          <a:spLocks noChangeShapeType="1"/>
        </xdr:cNvSpPr>
      </xdr:nvSpPr>
      <xdr:spPr bwMode="auto">
        <a:xfrm>
          <a:off x="16221075" y="14687550"/>
          <a:ext cx="1390650" cy="0"/>
        </a:xfrm>
        <a:prstGeom prst="line">
          <a:avLst/>
        </a:prstGeom>
        <a:noFill/>
        <a:ln w="127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295275</xdr:colOff>
      <xdr:row>75</xdr:row>
      <xdr:rowOff>104775</xdr:rowOff>
    </xdr:from>
    <xdr:to>
      <xdr:col>19</xdr:col>
      <xdr:colOff>295275</xdr:colOff>
      <xdr:row>78</xdr:row>
      <xdr:rowOff>152400</xdr:rowOff>
    </xdr:to>
    <xdr:sp macro="" textlink="">
      <xdr:nvSpPr>
        <xdr:cNvPr id="86" name="Line 57"/>
        <xdr:cNvSpPr>
          <a:spLocks noChangeShapeType="1"/>
        </xdr:cNvSpPr>
      </xdr:nvSpPr>
      <xdr:spPr bwMode="auto">
        <a:xfrm>
          <a:off x="11753850" y="14687550"/>
          <a:ext cx="0" cy="619125"/>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61</xdr:row>
      <xdr:rowOff>0</xdr:rowOff>
    </xdr:from>
    <xdr:to>
      <xdr:col>9</xdr:col>
      <xdr:colOff>200025</xdr:colOff>
      <xdr:row>61</xdr:row>
      <xdr:rowOff>0</xdr:rowOff>
    </xdr:to>
    <xdr:sp macro="" textlink="">
      <xdr:nvSpPr>
        <xdr:cNvPr id="87" name="Line 70"/>
        <xdr:cNvSpPr>
          <a:spLocks noChangeShapeType="1"/>
        </xdr:cNvSpPr>
      </xdr:nvSpPr>
      <xdr:spPr bwMode="auto">
        <a:xfrm>
          <a:off x="5762625" y="11915775"/>
          <a:ext cx="2000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61</xdr:row>
      <xdr:rowOff>0</xdr:rowOff>
    </xdr:from>
    <xdr:to>
      <xdr:col>10</xdr:col>
      <xdr:colOff>200025</xdr:colOff>
      <xdr:row>61</xdr:row>
      <xdr:rowOff>0</xdr:rowOff>
    </xdr:to>
    <xdr:sp macro="" textlink="">
      <xdr:nvSpPr>
        <xdr:cNvPr id="88" name="Line 72"/>
        <xdr:cNvSpPr>
          <a:spLocks noChangeShapeType="1"/>
        </xdr:cNvSpPr>
      </xdr:nvSpPr>
      <xdr:spPr bwMode="auto">
        <a:xfrm>
          <a:off x="6096000" y="11915775"/>
          <a:ext cx="1619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12</xdr:col>
      <xdr:colOff>38100</xdr:colOff>
      <xdr:row>61</xdr:row>
      <xdr:rowOff>0</xdr:rowOff>
    </xdr:from>
    <xdr:to>
      <xdr:col>24</xdr:col>
      <xdr:colOff>171450</xdr:colOff>
      <xdr:row>61</xdr:row>
      <xdr:rowOff>0</xdr:rowOff>
    </xdr:to>
    <xdr:sp macro="" textlink="">
      <xdr:nvSpPr>
        <xdr:cNvPr id="89" name="Line 73"/>
        <xdr:cNvSpPr>
          <a:spLocks noChangeShapeType="1"/>
        </xdr:cNvSpPr>
      </xdr:nvSpPr>
      <xdr:spPr bwMode="auto">
        <a:xfrm>
          <a:off x="7029450" y="11915775"/>
          <a:ext cx="80581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64</xdr:row>
      <xdr:rowOff>0</xdr:rowOff>
    </xdr:from>
    <xdr:to>
      <xdr:col>9</xdr:col>
      <xdr:colOff>219075</xdr:colOff>
      <xdr:row>64</xdr:row>
      <xdr:rowOff>0</xdr:rowOff>
    </xdr:to>
    <xdr:sp macro="" textlink="">
      <xdr:nvSpPr>
        <xdr:cNvPr id="90" name="Line 74"/>
        <xdr:cNvSpPr>
          <a:spLocks noChangeShapeType="1"/>
        </xdr:cNvSpPr>
      </xdr:nvSpPr>
      <xdr:spPr bwMode="auto">
        <a:xfrm>
          <a:off x="5772150" y="12487275"/>
          <a:ext cx="20955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64</xdr:row>
      <xdr:rowOff>0</xdr:rowOff>
    </xdr:from>
    <xdr:to>
      <xdr:col>10</xdr:col>
      <xdr:colOff>228600</xdr:colOff>
      <xdr:row>64</xdr:row>
      <xdr:rowOff>0</xdr:rowOff>
    </xdr:to>
    <xdr:sp macro="" textlink="">
      <xdr:nvSpPr>
        <xdr:cNvPr id="91" name="Line 75"/>
        <xdr:cNvSpPr>
          <a:spLocks noChangeShapeType="1"/>
        </xdr:cNvSpPr>
      </xdr:nvSpPr>
      <xdr:spPr bwMode="auto">
        <a:xfrm>
          <a:off x="6096000" y="12487275"/>
          <a:ext cx="1905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64</xdr:row>
      <xdr:rowOff>0</xdr:rowOff>
    </xdr:from>
    <xdr:to>
      <xdr:col>16</xdr:col>
      <xdr:colOff>0</xdr:colOff>
      <xdr:row>64</xdr:row>
      <xdr:rowOff>0</xdr:rowOff>
    </xdr:to>
    <xdr:sp macro="" textlink="">
      <xdr:nvSpPr>
        <xdr:cNvPr id="92" name="Line 76"/>
        <xdr:cNvSpPr>
          <a:spLocks noChangeShapeType="1"/>
        </xdr:cNvSpPr>
      </xdr:nvSpPr>
      <xdr:spPr bwMode="auto">
        <a:xfrm>
          <a:off x="6381750" y="12487275"/>
          <a:ext cx="31623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61</xdr:row>
      <xdr:rowOff>0</xdr:rowOff>
    </xdr:from>
    <xdr:to>
      <xdr:col>8</xdr:col>
      <xdr:colOff>352425</xdr:colOff>
      <xdr:row>61</xdr:row>
      <xdr:rowOff>0</xdr:rowOff>
    </xdr:to>
    <xdr:sp macro="" textlink="">
      <xdr:nvSpPr>
        <xdr:cNvPr id="93" name="Line 77"/>
        <xdr:cNvSpPr>
          <a:spLocks noChangeShapeType="1"/>
        </xdr:cNvSpPr>
      </xdr:nvSpPr>
      <xdr:spPr bwMode="auto">
        <a:xfrm>
          <a:off x="5410200" y="11915775"/>
          <a:ext cx="3429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64</xdr:row>
      <xdr:rowOff>0</xdr:rowOff>
    </xdr:from>
    <xdr:to>
      <xdr:col>8</xdr:col>
      <xdr:colOff>371475</xdr:colOff>
      <xdr:row>64</xdr:row>
      <xdr:rowOff>0</xdr:rowOff>
    </xdr:to>
    <xdr:sp macro="" textlink="">
      <xdr:nvSpPr>
        <xdr:cNvPr id="94" name="Line 78"/>
        <xdr:cNvSpPr>
          <a:spLocks noChangeShapeType="1"/>
        </xdr:cNvSpPr>
      </xdr:nvSpPr>
      <xdr:spPr bwMode="auto">
        <a:xfrm>
          <a:off x="5410200" y="12487275"/>
          <a:ext cx="3524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47625</xdr:colOff>
      <xdr:row>61</xdr:row>
      <xdr:rowOff>0</xdr:rowOff>
    </xdr:from>
    <xdr:to>
      <xdr:col>12</xdr:col>
      <xdr:colOff>9525</xdr:colOff>
      <xdr:row>61</xdr:row>
      <xdr:rowOff>0</xdr:rowOff>
    </xdr:to>
    <xdr:sp macro="" textlink="">
      <xdr:nvSpPr>
        <xdr:cNvPr id="95" name="Line 79"/>
        <xdr:cNvSpPr>
          <a:spLocks noChangeShapeType="1"/>
        </xdr:cNvSpPr>
      </xdr:nvSpPr>
      <xdr:spPr bwMode="auto">
        <a:xfrm>
          <a:off x="6362700" y="11915775"/>
          <a:ext cx="638175"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55</xdr:row>
      <xdr:rowOff>9525</xdr:rowOff>
    </xdr:from>
    <xdr:to>
      <xdr:col>10</xdr:col>
      <xdr:colOff>0</xdr:colOff>
      <xdr:row>81</xdr:row>
      <xdr:rowOff>152400</xdr:rowOff>
    </xdr:to>
    <xdr:sp macro="" textlink="">
      <xdr:nvSpPr>
        <xdr:cNvPr id="96" name="Line 81"/>
        <xdr:cNvSpPr>
          <a:spLocks noChangeShapeType="1"/>
        </xdr:cNvSpPr>
      </xdr:nvSpPr>
      <xdr:spPr bwMode="auto">
        <a:xfrm>
          <a:off x="6057900" y="10782300"/>
          <a:ext cx="0" cy="50958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76200</xdr:colOff>
      <xdr:row>75</xdr:row>
      <xdr:rowOff>104775</xdr:rowOff>
    </xdr:from>
    <xdr:to>
      <xdr:col>25</xdr:col>
      <xdr:colOff>333375</xdr:colOff>
      <xdr:row>75</xdr:row>
      <xdr:rowOff>104775</xdr:rowOff>
    </xdr:to>
    <xdr:sp macro="" textlink="">
      <xdr:nvSpPr>
        <xdr:cNvPr id="97" name="Line 85"/>
        <xdr:cNvSpPr>
          <a:spLocks noChangeShapeType="1"/>
        </xdr:cNvSpPr>
      </xdr:nvSpPr>
      <xdr:spPr bwMode="auto">
        <a:xfrm>
          <a:off x="11534775" y="14687550"/>
          <a:ext cx="4410075"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75</xdr:row>
      <xdr:rowOff>85725</xdr:rowOff>
    </xdr:from>
    <xdr:to>
      <xdr:col>17</xdr:col>
      <xdr:colOff>180975</xdr:colOff>
      <xdr:row>75</xdr:row>
      <xdr:rowOff>85725</xdr:rowOff>
    </xdr:to>
    <xdr:sp macro="" textlink="">
      <xdr:nvSpPr>
        <xdr:cNvPr id="98" name="Line 87"/>
        <xdr:cNvSpPr>
          <a:spLocks noChangeShapeType="1"/>
        </xdr:cNvSpPr>
      </xdr:nvSpPr>
      <xdr:spPr bwMode="auto">
        <a:xfrm>
          <a:off x="9915525" y="14668500"/>
          <a:ext cx="504825"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254793</xdr:colOff>
      <xdr:row>75</xdr:row>
      <xdr:rowOff>85725</xdr:rowOff>
    </xdr:from>
    <xdr:to>
      <xdr:col>18</xdr:col>
      <xdr:colOff>330993</xdr:colOff>
      <xdr:row>75</xdr:row>
      <xdr:rowOff>85725</xdr:rowOff>
    </xdr:to>
    <xdr:sp macro="" textlink="">
      <xdr:nvSpPr>
        <xdr:cNvPr id="99" name="Line 88"/>
        <xdr:cNvSpPr>
          <a:spLocks noChangeShapeType="1"/>
        </xdr:cNvSpPr>
      </xdr:nvSpPr>
      <xdr:spPr bwMode="auto">
        <a:xfrm>
          <a:off x="10494168" y="14668500"/>
          <a:ext cx="685800"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71</xdr:row>
      <xdr:rowOff>0</xdr:rowOff>
    </xdr:from>
    <xdr:to>
      <xdr:col>21</xdr:col>
      <xdr:colOff>0</xdr:colOff>
      <xdr:row>75</xdr:row>
      <xdr:rowOff>104775</xdr:rowOff>
    </xdr:to>
    <xdr:sp macro="" textlink="">
      <xdr:nvSpPr>
        <xdr:cNvPr id="100" name="Line 89"/>
        <xdr:cNvSpPr>
          <a:spLocks noChangeShapeType="1"/>
        </xdr:cNvSpPr>
      </xdr:nvSpPr>
      <xdr:spPr bwMode="auto">
        <a:xfrm>
          <a:off x="12925425" y="13820775"/>
          <a:ext cx="0" cy="866775"/>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71</xdr:row>
      <xdr:rowOff>0</xdr:rowOff>
    </xdr:from>
    <xdr:to>
      <xdr:col>22</xdr:col>
      <xdr:colOff>9525</xdr:colOff>
      <xdr:row>71</xdr:row>
      <xdr:rowOff>0</xdr:rowOff>
    </xdr:to>
    <xdr:sp macro="" textlink="">
      <xdr:nvSpPr>
        <xdr:cNvPr id="101" name="Line 90"/>
        <xdr:cNvSpPr>
          <a:spLocks noChangeShapeType="1"/>
        </xdr:cNvSpPr>
      </xdr:nvSpPr>
      <xdr:spPr bwMode="auto">
        <a:xfrm>
          <a:off x="12925425" y="13820775"/>
          <a:ext cx="781050" cy="0"/>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9525</xdr:colOff>
      <xdr:row>71</xdr:row>
      <xdr:rowOff>0</xdr:rowOff>
    </xdr:from>
    <xdr:to>
      <xdr:col>25</xdr:col>
      <xdr:colOff>352425</xdr:colOff>
      <xdr:row>71</xdr:row>
      <xdr:rowOff>0</xdr:rowOff>
    </xdr:to>
    <xdr:sp macro="" textlink="">
      <xdr:nvSpPr>
        <xdr:cNvPr id="102" name="Line 91"/>
        <xdr:cNvSpPr>
          <a:spLocks noChangeShapeType="1"/>
        </xdr:cNvSpPr>
      </xdr:nvSpPr>
      <xdr:spPr bwMode="auto">
        <a:xfrm>
          <a:off x="15621000" y="13820775"/>
          <a:ext cx="342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71</xdr:row>
      <xdr:rowOff>0</xdr:rowOff>
    </xdr:from>
    <xdr:to>
      <xdr:col>27</xdr:col>
      <xdr:colOff>523875</xdr:colOff>
      <xdr:row>71</xdr:row>
      <xdr:rowOff>0</xdr:rowOff>
    </xdr:to>
    <xdr:sp macro="" textlink="">
      <xdr:nvSpPr>
        <xdr:cNvPr id="103" name="Line 92"/>
        <xdr:cNvSpPr>
          <a:spLocks noChangeShapeType="1"/>
        </xdr:cNvSpPr>
      </xdr:nvSpPr>
      <xdr:spPr bwMode="auto">
        <a:xfrm>
          <a:off x="16221075" y="13820775"/>
          <a:ext cx="13049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72</xdr:row>
      <xdr:rowOff>66675</xdr:rowOff>
    </xdr:from>
    <xdr:to>
      <xdr:col>11</xdr:col>
      <xdr:colOff>0</xdr:colOff>
      <xdr:row>79</xdr:row>
      <xdr:rowOff>152400</xdr:rowOff>
    </xdr:to>
    <xdr:sp macro="" textlink="">
      <xdr:nvSpPr>
        <xdr:cNvPr id="104" name="Line 93"/>
        <xdr:cNvSpPr>
          <a:spLocks noChangeShapeType="1"/>
        </xdr:cNvSpPr>
      </xdr:nvSpPr>
      <xdr:spPr bwMode="auto">
        <a:xfrm>
          <a:off x="6315075" y="14077950"/>
          <a:ext cx="0" cy="141922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70</xdr:row>
      <xdr:rowOff>9525</xdr:rowOff>
    </xdr:from>
    <xdr:to>
      <xdr:col>8</xdr:col>
      <xdr:colOff>371475</xdr:colOff>
      <xdr:row>70</xdr:row>
      <xdr:rowOff>9525</xdr:rowOff>
    </xdr:to>
    <xdr:sp macro="" textlink="">
      <xdr:nvSpPr>
        <xdr:cNvPr id="105" name="Line 94"/>
        <xdr:cNvSpPr>
          <a:spLocks noChangeShapeType="1"/>
        </xdr:cNvSpPr>
      </xdr:nvSpPr>
      <xdr:spPr bwMode="auto">
        <a:xfrm>
          <a:off x="5400675" y="13639800"/>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381000</xdr:colOff>
      <xdr:row>61</xdr:row>
      <xdr:rowOff>85725</xdr:rowOff>
    </xdr:from>
    <xdr:to>
      <xdr:col>29</xdr:col>
      <xdr:colOff>0</xdr:colOff>
      <xdr:row>61</xdr:row>
      <xdr:rowOff>85725</xdr:rowOff>
    </xdr:to>
    <xdr:cxnSp macro="">
      <xdr:nvCxnSpPr>
        <xdr:cNvPr id="106" name="Straight Arrow Connector 2"/>
        <xdr:cNvCxnSpPr>
          <a:cxnSpLocks noChangeShapeType="1"/>
        </xdr:cNvCxnSpPr>
      </xdr:nvCxnSpPr>
      <xdr:spPr bwMode="auto">
        <a:xfrm>
          <a:off x="17383125" y="12001500"/>
          <a:ext cx="838200" cy="0"/>
        </a:xfrm>
        <a:prstGeom prst="straightConnector1">
          <a:avLst/>
        </a:prstGeom>
        <a:noFill/>
        <a:ln w="9525" algn="ctr">
          <a:solidFill>
            <a:srgbClr val="000000"/>
          </a:solidFill>
          <a:round/>
          <a:headEnd/>
          <a:tailEnd type="arrow" w="med" len="med"/>
        </a:ln>
      </xdr:spPr>
    </xdr:cxnSp>
    <xdr:clientData/>
  </xdr:twoCellAnchor>
  <xdr:twoCellAnchor>
    <xdr:from>
      <xdr:col>26</xdr:col>
      <xdr:colOff>28575</xdr:colOff>
      <xdr:row>61</xdr:row>
      <xdr:rowOff>85725</xdr:rowOff>
    </xdr:from>
    <xdr:to>
      <xdr:col>27</xdr:col>
      <xdr:colOff>447675</xdr:colOff>
      <xdr:row>61</xdr:row>
      <xdr:rowOff>85725</xdr:rowOff>
    </xdr:to>
    <xdr:cxnSp macro="">
      <xdr:nvCxnSpPr>
        <xdr:cNvPr id="107" name="Straight Arrow Connector 4"/>
        <xdr:cNvCxnSpPr>
          <a:cxnSpLocks noChangeShapeType="1"/>
        </xdr:cNvCxnSpPr>
      </xdr:nvCxnSpPr>
      <xdr:spPr bwMode="auto">
        <a:xfrm flipH="1">
          <a:off x="16249650" y="12001500"/>
          <a:ext cx="1200150" cy="0"/>
        </a:xfrm>
        <a:prstGeom prst="straightConnector1">
          <a:avLst/>
        </a:prstGeom>
        <a:noFill/>
        <a:ln w="9525" algn="ctr">
          <a:solidFill>
            <a:srgbClr val="000000"/>
          </a:solidFill>
          <a:round/>
          <a:headEnd/>
          <a:tailEnd type="arrow" w="med" len="med"/>
        </a:ln>
      </xdr:spPr>
    </xdr:cxnSp>
    <xdr:clientData/>
  </xdr:twoCellAnchor>
  <xdr:twoCellAnchor>
    <xdr:from>
      <xdr:col>9</xdr:col>
      <xdr:colOff>0</xdr:colOff>
      <xdr:row>104</xdr:row>
      <xdr:rowOff>0</xdr:rowOff>
    </xdr:from>
    <xdr:to>
      <xdr:col>9</xdr:col>
      <xdr:colOff>0</xdr:colOff>
      <xdr:row>104</xdr:row>
      <xdr:rowOff>0</xdr:rowOff>
    </xdr:to>
    <xdr:sp macro="" textlink="">
      <xdr:nvSpPr>
        <xdr:cNvPr id="108" name="Line 4"/>
        <xdr:cNvSpPr>
          <a:spLocks noChangeShapeType="1"/>
        </xdr:cNvSpPr>
      </xdr:nvSpPr>
      <xdr:spPr bwMode="auto">
        <a:xfrm>
          <a:off x="5762625" y="20259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114</xdr:row>
      <xdr:rowOff>9525</xdr:rowOff>
    </xdr:from>
    <xdr:to>
      <xdr:col>10</xdr:col>
      <xdr:colOff>19050</xdr:colOff>
      <xdr:row>114</xdr:row>
      <xdr:rowOff>9525</xdr:rowOff>
    </xdr:to>
    <xdr:sp macro="" textlink="">
      <xdr:nvSpPr>
        <xdr:cNvPr id="109" name="Line 7"/>
        <xdr:cNvSpPr>
          <a:spLocks noChangeShapeType="1"/>
        </xdr:cNvSpPr>
      </xdr:nvSpPr>
      <xdr:spPr bwMode="auto">
        <a:xfrm>
          <a:off x="5772150" y="22174200"/>
          <a:ext cx="3048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99</xdr:row>
      <xdr:rowOff>0</xdr:rowOff>
    </xdr:from>
    <xdr:to>
      <xdr:col>17</xdr:col>
      <xdr:colOff>0</xdr:colOff>
      <xdr:row>99</xdr:row>
      <xdr:rowOff>0</xdr:rowOff>
    </xdr:to>
    <xdr:sp macro="" textlink="">
      <xdr:nvSpPr>
        <xdr:cNvPr id="110" name="Line 9"/>
        <xdr:cNvSpPr>
          <a:spLocks noChangeShapeType="1"/>
        </xdr:cNvSpPr>
      </xdr:nvSpPr>
      <xdr:spPr bwMode="auto">
        <a:xfrm>
          <a:off x="6067425" y="19307175"/>
          <a:ext cx="417195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116</xdr:row>
      <xdr:rowOff>0</xdr:rowOff>
    </xdr:from>
    <xdr:to>
      <xdr:col>12</xdr:col>
      <xdr:colOff>9525</xdr:colOff>
      <xdr:row>116</xdr:row>
      <xdr:rowOff>0</xdr:rowOff>
    </xdr:to>
    <xdr:sp macro="" textlink="">
      <xdr:nvSpPr>
        <xdr:cNvPr id="111" name="Line 10"/>
        <xdr:cNvSpPr>
          <a:spLocks noChangeShapeType="1"/>
        </xdr:cNvSpPr>
      </xdr:nvSpPr>
      <xdr:spPr bwMode="auto">
        <a:xfrm>
          <a:off x="6057900" y="22545675"/>
          <a:ext cx="9429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114</xdr:row>
      <xdr:rowOff>9525</xdr:rowOff>
    </xdr:from>
    <xdr:to>
      <xdr:col>12</xdr:col>
      <xdr:colOff>0</xdr:colOff>
      <xdr:row>116</xdr:row>
      <xdr:rowOff>0</xdr:rowOff>
    </xdr:to>
    <xdr:sp macro="" textlink="">
      <xdr:nvSpPr>
        <xdr:cNvPr id="112" name="Line 12"/>
        <xdr:cNvSpPr>
          <a:spLocks noChangeShapeType="1"/>
        </xdr:cNvSpPr>
      </xdr:nvSpPr>
      <xdr:spPr bwMode="auto">
        <a:xfrm>
          <a:off x="6991350" y="22174200"/>
          <a:ext cx="0" cy="3714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114</xdr:row>
      <xdr:rowOff>9525</xdr:rowOff>
    </xdr:from>
    <xdr:to>
      <xdr:col>14</xdr:col>
      <xdr:colOff>15875</xdr:colOff>
      <xdr:row>114</xdr:row>
      <xdr:rowOff>15875</xdr:rowOff>
    </xdr:to>
    <xdr:sp macro="" textlink="">
      <xdr:nvSpPr>
        <xdr:cNvPr id="113" name="Line 14"/>
        <xdr:cNvSpPr>
          <a:spLocks noChangeShapeType="1"/>
        </xdr:cNvSpPr>
      </xdr:nvSpPr>
      <xdr:spPr bwMode="auto">
        <a:xfrm>
          <a:off x="6096000" y="22174200"/>
          <a:ext cx="2225675" cy="635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116</xdr:row>
      <xdr:rowOff>9525</xdr:rowOff>
    </xdr:from>
    <xdr:to>
      <xdr:col>14</xdr:col>
      <xdr:colOff>9525</xdr:colOff>
      <xdr:row>116</xdr:row>
      <xdr:rowOff>9525</xdr:rowOff>
    </xdr:to>
    <xdr:sp macro="" textlink="">
      <xdr:nvSpPr>
        <xdr:cNvPr id="114" name="Line 15"/>
        <xdr:cNvSpPr>
          <a:spLocks noChangeShapeType="1"/>
        </xdr:cNvSpPr>
      </xdr:nvSpPr>
      <xdr:spPr bwMode="auto">
        <a:xfrm>
          <a:off x="6991350" y="22555200"/>
          <a:ext cx="1323975"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371475</xdr:colOff>
      <xdr:row>127</xdr:row>
      <xdr:rowOff>0</xdr:rowOff>
    </xdr:from>
    <xdr:to>
      <xdr:col>9</xdr:col>
      <xdr:colOff>266700</xdr:colOff>
      <xdr:row>127</xdr:row>
      <xdr:rowOff>0</xdr:rowOff>
    </xdr:to>
    <xdr:sp macro="" textlink="">
      <xdr:nvSpPr>
        <xdr:cNvPr id="115" name="Line 16"/>
        <xdr:cNvSpPr>
          <a:spLocks noChangeShapeType="1"/>
        </xdr:cNvSpPr>
      </xdr:nvSpPr>
      <xdr:spPr bwMode="auto">
        <a:xfrm>
          <a:off x="6057900" y="24641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257175</xdr:colOff>
      <xdr:row>126</xdr:row>
      <xdr:rowOff>0</xdr:rowOff>
    </xdr:from>
    <xdr:to>
      <xdr:col>16</xdr:col>
      <xdr:colOff>361950</xdr:colOff>
      <xdr:row>126</xdr:row>
      <xdr:rowOff>0</xdr:rowOff>
    </xdr:to>
    <xdr:sp macro="" textlink="">
      <xdr:nvSpPr>
        <xdr:cNvPr id="116" name="Line 17"/>
        <xdr:cNvSpPr>
          <a:spLocks noChangeShapeType="1"/>
        </xdr:cNvSpPr>
      </xdr:nvSpPr>
      <xdr:spPr bwMode="auto">
        <a:xfrm>
          <a:off x="6019800" y="24450675"/>
          <a:ext cx="3886200"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117</xdr:row>
      <xdr:rowOff>0</xdr:rowOff>
    </xdr:from>
    <xdr:to>
      <xdr:col>9</xdr:col>
      <xdr:colOff>0</xdr:colOff>
      <xdr:row>117</xdr:row>
      <xdr:rowOff>0</xdr:rowOff>
    </xdr:to>
    <xdr:sp macro="" textlink="">
      <xdr:nvSpPr>
        <xdr:cNvPr id="117" name="Line 18"/>
        <xdr:cNvSpPr>
          <a:spLocks noChangeShapeType="1"/>
        </xdr:cNvSpPr>
      </xdr:nvSpPr>
      <xdr:spPr bwMode="auto">
        <a:xfrm>
          <a:off x="5400675" y="22736175"/>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117</xdr:row>
      <xdr:rowOff>9525</xdr:rowOff>
    </xdr:from>
    <xdr:to>
      <xdr:col>11</xdr:col>
      <xdr:colOff>0</xdr:colOff>
      <xdr:row>117</xdr:row>
      <xdr:rowOff>9525</xdr:rowOff>
    </xdr:to>
    <xdr:sp macro="" textlink="">
      <xdr:nvSpPr>
        <xdr:cNvPr id="118" name="Line 19"/>
        <xdr:cNvSpPr>
          <a:spLocks noChangeShapeType="1"/>
        </xdr:cNvSpPr>
      </xdr:nvSpPr>
      <xdr:spPr bwMode="auto">
        <a:xfrm>
          <a:off x="5762625" y="22745700"/>
          <a:ext cx="552450"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100</xdr:row>
      <xdr:rowOff>0</xdr:rowOff>
    </xdr:from>
    <xdr:to>
      <xdr:col>11</xdr:col>
      <xdr:colOff>0</xdr:colOff>
      <xdr:row>115</xdr:row>
      <xdr:rowOff>66675</xdr:rowOff>
    </xdr:to>
    <xdr:sp macro="" textlink="">
      <xdr:nvSpPr>
        <xdr:cNvPr id="119" name="Line 20"/>
        <xdr:cNvSpPr>
          <a:spLocks noChangeShapeType="1"/>
        </xdr:cNvSpPr>
      </xdr:nvSpPr>
      <xdr:spPr bwMode="auto">
        <a:xfrm>
          <a:off x="6315075" y="19497675"/>
          <a:ext cx="0" cy="292417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100</xdr:row>
      <xdr:rowOff>0</xdr:rowOff>
    </xdr:from>
    <xdr:to>
      <xdr:col>17</xdr:col>
      <xdr:colOff>0</xdr:colOff>
      <xdr:row>100</xdr:row>
      <xdr:rowOff>0</xdr:rowOff>
    </xdr:to>
    <xdr:sp macro="" textlink="">
      <xdr:nvSpPr>
        <xdr:cNvPr id="120" name="Line 22"/>
        <xdr:cNvSpPr>
          <a:spLocks noChangeShapeType="1"/>
        </xdr:cNvSpPr>
      </xdr:nvSpPr>
      <xdr:spPr bwMode="auto">
        <a:xfrm>
          <a:off x="6315075" y="19497675"/>
          <a:ext cx="392430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112</xdr:row>
      <xdr:rowOff>0</xdr:rowOff>
    </xdr:from>
    <xdr:to>
      <xdr:col>14</xdr:col>
      <xdr:colOff>0</xdr:colOff>
      <xdr:row>112</xdr:row>
      <xdr:rowOff>0</xdr:rowOff>
    </xdr:to>
    <xdr:sp macro="" textlink="">
      <xdr:nvSpPr>
        <xdr:cNvPr id="121" name="Line 23"/>
        <xdr:cNvSpPr>
          <a:spLocks noChangeShapeType="1"/>
        </xdr:cNvSpPr>
      </xdr:nvSpPr>
      <xdr:spPr bwMode="auto">
        <a:xfrm>
          <a:off x="6324600" y="21783675"/>
          <a:ext cx="198120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118</xdr:row>
      <xdr:rowOff>9525</xdr:rowOff>
    </xdr:from>
    <xdr:to>
      <xdr:col>14</xdr:col>
      <xdr:colOff>19050</xdr:colOff>
      <xdr:row>118</xdr:row>
      <xdr:rowOff>19050</xdr:rowOff>
    </xdr:to>
    <xdr:sp macro="" textlink="">
      <xdr:nvSpPr>
        <xdr:cNvPr id="122" name="Line 24"/>
        <xdr:cNvSpPr>
          <a:spLocks noChangeShapeType="1"/>
        </xdr:cNvSpPr>
      </xdr:nvSpPr>
      <xdr:spPr bwMode="auto">
        <a:xfrm flipV="1">
          <a:off x="6324600" y="22936200"/>
          <a:ext cx="2000250" cy="9525"/>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257175</xdr:colOff>
      <xdr:row>123</xdr:row>
      <xdr:rowOff>152400</xdr:rowOff>
    </xdr:from>
    <xdr:to>
      <xdr:col>16</xdr:col>
      <xdr:colOff>371475</xdr:colOff>
      <xdr:row>123</xdr:row>
      <xdr:rowOff>152400</xdr:rowOff>
    </xdr:to>
    <xdr:sp macro="" textlink="">
      <xdr:nvSpPr>
        <xdr:cNvPr id="123" name="Line 25"/>
        <xdr:cNvSpPr>
          <a:spLocks noChangeShapeType="1"/>
        </xdr:cNvSpPr>
      </xdr:nvSpPr>
      <xdr:spPr bwMode="auto">
        <a:xfrm>
          <a:off x="6315075" y="24031575"/>
          <a:ext cx="3600450" cy="0"/>
        </a:xfrm>
        <a:prstGeom prst="line">
          <a:avLst/>
        </a:prstGeom>
        <a:noFill/>
        <a:ln w="9525">
          <a:solidFill>
            <a:srgbClr val="000000"/>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102</xdr:row>
      <xdr:rowOff>0</xdr:rowOff>
    </xdr:from>
    <xdr:to>
      <xdr:col>9</xdr:col>
      <xdr:colOff>0</xdr:colOff>
      <xdr:row>102</xdr:row>
      <xdr:rowOff>0</xdr:rowOff>
    </xdr:to>
    <xdr:sp macro="" textlink="">
      <xdr:nvSpPr>
        <xdr:cNvPr id="124" name="Line 27"/>
        <xdr:cNvSpPr>
          <a:spLocks noChangeShapeType="1"/>
        </xdr:cNvSpPr>
      </xdr:nvSpPr>
      <xdr:spPr bwMode="auto">
        <a:xfrm>
          <a:off x="5400675" y="19878675"/>
          <a:ext cx="36195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102</xdr:row>
      <xdr:rowOff>0</xdr:rowOff>
    </xdr:from>
    <xdr:to>
      <xdr:col>9</xdr:col>
      <xdr:colOff>266700</xdr:colOff>
      <xdr:row>102</xdr:row>
      <xdr:rowOff>0</xdr:rowOff>
    </xdr:to>
    <xdr:sp macro="" textlink="">
      <xdr:nvSpPr>
        <xdr:cNvPr id="125" name="Line 29"/>
        <xdr:cNvSpPr>
          <a:spLocks noChangeShapeType="1"/>
        </xdr:cNvSpPr>
      </xdr:nvSpPr>
      <xdr:spPr bwMode="auto">
        <a:xfrm>
          <a:off x="5791200" y="198786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102</xdr:row>
      <xdr:rowOff>0</xdr:rowOff>
    </xdr:from>
    <xdr:to>
      <xdr:col>10</xdr:col>
      <xdr:colOff>266700</xdr:colOff>
      <xdr:row>102</xdr:row>
      <xdr:rowOff>0</xdr:rowOff>
    </xdr:to>
    <xdr:sp macro="" textlink="">
      <xdr:nvSpPr>
        <xdr:cNvPr id="126" name="Line 30"/>
        <xdr:cNvSpPr>
          <a:spLocks noChangeShapeType="1"/>
        </xdr:cNvSpPr>
      </xdr:nvSpPr>
      <xdr:spPr bwMode="auto">
        <a:xfrm>
          <a:off x="6105525" y="198786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102</xdr:row>
      <xdr:rowOff>0</xdr:rowOff>
    </xdr:from>
    <xdr:to>
      <xdr:col>16</xdr:col>
      <xdr:colOff>371475</xdr:colOff>
      <xdr:row>102</xdr:row>
      <xdr:rowOff>0</xdr:rowOff>
    </xdr:to>
    <xdr:sp macro="" textlink="">
      <xdr:nvSpPr>
        <xdr:cNvPr id="127" name="Line 32"/>
        <xdr:cNvSpPr>
          <a:spLocks noChangeShapeType="1"/>
        </xdr:cNvSpPr>
      </xdr:nvSpPr>
      <xdr:spPr bwMode="auto">
        <a:xfrm>
          <a:off x="6400800" y="19878675"/>
          <a:ext cx="3514725"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105</xdr:row>
      <xdr:rowOff>0</xdr:rowOff>
    </xdr:from>
    <xdr:to>
      <xdr:col>15</xdr:col>
      <xdr:colOff>0</xdr:colOff>
      <xdr:row>110</xdr:row>
      <xdr:rowOff>152400</xdr:rowOff>
    </xdr:to>
    <xdr:sp macro="" textlink="">
      <xdr:nvSpPr>
        <xdr:cNvPr id="128" name="Line 37"/>
        <xdr:cNvSpPr>
          <a:spLocks noChangeShapeType="1"/>
        </xdr:cNvSpPr>
      </xdr:nvSpPr>
      <xdr:spPr bwMode="auto">
        <a:xfrm>
          <a:off x="8915400" y="20450175"/>
          <a:ext cx="0" cy="110490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228600</xdr:colOff>
      <xdr:row>103</xdr:row>
      <xdr:rowOff>28575</xdr:rowOff>
    </xdr:from>
    <xdr:to>
      <xdr:col>18</xdr:col>
      <xdr:colOff>228600</xdr:colOff>
      <xdr:row>105</xdr:row>
      <xdr:rowOff>28575</xdr:rowOff>
    </xdr:to>
    <xdr:sp macro="" textlink="">
      <xdr:nvSpPr>
        <xdr:cNvPr id="129" name="Line 38"/>
        <xdr:cNvSpPr>
          <a:spLocks noChangeShapeType="1"/>
        </xdr:cNvSpPr>
      </xdr:nvSpPr>
      <xdr:spPr bwMode="auto">
        <a:xfrm>
          <a:off x="11077575" y="20097750"/>
          <a:ext cx="0" cy="38100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161925</xdr:colOff>
      <xdr:row>104</xdr:row>
      <xdr:rowOff>152400</xdr:rowOff>
    </xdr:from>
    <xdr:to>
      <xdr:col>24</xdr:col>
      <xdr:colOff>161925</xdr:colOff>
      <xdr:row>112</xdr:row>
      <xdr:rowOff>133350</xdr:rowOff>
    </xdr:to>
    <xdr:sp macro="" textlink="">
      <xdr:nvSpPr>
        <xdr:cNvPr id="130" name="Line 40"/>
        <xdr:cNvSpPr>
          <a:spLocks noChangeShapeType="1"/>
        </xdr:cNvSpPr>
      </xdr:nvSpPr>
      <xdr:spPr bwMode="auto">
        <a:xfrm>
          <a:off x="15078075" y="20412075"/>
          <a:ext cx="0" cy="1504950"/>
        </a:xfrm>
        <a:prstGeom prst="line">
          <a:avLst/>
        </a:prstGeom>
        <a:noFill/>
        <a:ln w="9525">
          <a:solidFill>
            <a:srgbClr val="000000"/>
          </a:solidFill>
          <a:prstDash val="lgDashDot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219075</xdr:colOff>
      <xdr:row>105</xdr:row>
      <xdr:rowOff>0</xdr:rowOff>
    </xdr:from>
    <xdr:to>
      <xdr:col>17</xdr:col>
      <xdr:colOff>228600</xdr:colOff>
      <xdr:row>123</xdr:row>
      <xdr:rowOff>0</xdr:rowOff>
    </xdr:to>
    <xdr:sp macro="" textlink="">
      <xdr:nvSpPr>
        <xdr:cNvPr id="131" name="Line 42"/>
        <xdr:cNvSpPr>
          <a:spLocks noChangeShapeType="1"/>
        </xdr:cNvSpPr>
      </xdr:nvSpPr>
      <xdr:spPr bwMode="auto">
        <a:xfrm flipH="1">
          <a:off x="10458450" y="20450175"/>
          <a:ext cx="9525" cy="3429000"/>
        </a:xfrm>
        <a:prstGeom prst="line">
          <a:avLst/>
        </a:prstGeom>
        <a:noFill/>
        <a:ln w="9525">
          <a:solidFill>
            <a:srgbClr val="000000"/>
          </a:solidFill>
          <a:prstDash val="lgDashDot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108</xdr:row>
      <xdr:rowOff>9525</xdr:rowOff>
    </xdr:from>
    <xdr:to>
      <xdr:col>23</xdr:col>
      <xdr:colOff>0</xdr:colOff>
      <xdr:row>108</xdr:row>
      <xdr:rowOff>9525</xdr:rowOff>
    </xdr:to>
    <xdr:sp macro="" textlink="">
      <xdr:nvSpPr>
        <xdr:cNvPr id="132" name="Line 43"/>
        <xdr:cNvSpPr>
          <a:spLocks noChangeShapeType="1"/>
        </xdr:cNvSpPr>
      </xdr:nvSpPr>
      <xdr:spPr bwMode="auto">
        <a:xfrm>
          <a:off x="9544050" y="21031200"/>
          <a:ext cx="47625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108</xdr:row>
      <xdr:rowOff>9525</xdr:rowOff>
    </xdr:from>
    <xdr:to>
      <xdr:col>16</xdr:col>
      <xdr:colOff>0</xdr:colOff>
      <xdr:row>110</xdr:row>
      <xdr:rowOff>152400</xdr:rowOff>
    </xdr:to>
    <xdr:sp macro="" textlink="">
      <xdr:nvSpPr>
        <xdr:cNvPr id="133" name="Line 44"/>
        <xdr:cNvSpPr>
          <a:spLocks noChangeShapeType="1"/>
        </xdr:cNvSpPr>
      </xdr:nvSpPr>
      <xdr:spPr bwMode="auto">
        <a:xfrm>
          <a:off x="9544050" y="21031200"/>
          <a:ext cx="0" cy="5238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0</xdr:colOff>
      <xdr:row>108</xdr:row>
      <xdr:rowOff>9525</xdr:rowOff>
    </xdr:from>
    <xdr:to>
      <xdr:col>23</xdr:col>
      <xdr:colOff>0</xdr:colOff>
      <xdr:row>112</xdr:row>
      <xdr:rowOff>152400</xdr:rowOff>
    </xdr:to>
    <xdr:sp macro="" textlink="">
      <xdr:nvSpPr>
        <xdr:cNvPr id="134" name="Line 45"/>
        <xdr:cNvSpPr>
          <a:spLocks noChangeShapeType="1"/>
        </xdr:cNvSpPr>
      </xdr:nvSpPr>
      <xdr:spPr bwMode="auto">
        <a:xfrm>
          <a:off x="14306550" y="21031200"/>
          <a:ext cx="0" cy="9048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103</xdr:row>
      <xdr:rowOff>9525</xdr:rowOff>
    </xdr:from>
    <xdr:to>
      <xdr:col>20</xdr:col>
      <xdr:colOff>0</xdr:colOff>
      <xdr:row>104</xdr:row>
      <xdr:rowOff>85725</xdr:rowOff>
    </xdr:to>
    <xdr:sp macro="" textlink="">
      <xdr:nvSpPr>
        <xdr:cNvPr id="135" name="Line 46"/>
        <xdr:cNvSpPr>
          <a:spLocks noChangeShapeType="1"/>
        </xdr:cNvSpPr>
      </xdr:nvSpPr>
      <xdr:spPr bwMode="auto">
        <a:xfrm>
          <a:off x="12220575" y="20078700"/>
          <a:ext cx="0" cy="26670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105</xdr:row>
      <xdr:rowOff>47625</xdr:rowOff>
    </xdr:from>
    <xdr:to>
      <xdr:col>20</xdr:col>
      <xdr:colOff>0</xdr:colOff>
      <xdr:row>107</xdr:row>
      <xdr:rowOff>152400</xdr:rowOff>
    </xdr:to>
    <xdr:sp macro="" textlink="">
      <xdr:nvSpPr>
        <xdr:cNvPr id="136" name="Line 47"/>
        <xdr:cNvSpPr>
          <a:spLocks noChangeShapeType="1"/>
        </xdr:cNvSpPr>
      </xdr:nvSpPr>
      <xdr:spPr bwMode="auto">
        <a:xfrm>
          <a:off x="12220575" y="20497800"/>
          <a:ext cx="0" cy="485775"/>
        </a:xfrm>
        <a:prstGeom prst="line">
          <a:avLst/>
        </a:prstGeom>
        <a:noFill/>
        <a:ln w="9525">
          <a:solidFill>
            <a:srgbClr val="000000"/>
          </a:solidFill>
          <a:prstDash val="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108</xdr:row>
      <xdr:rowOff>9525</xdr:rowOff>
    </xdr:from>
    <xdr:to>
      <xdr:col>19</xdr:col>
      <xdr:colOff>0</xdr:colOff>
      <xdr:row>123</xdr:row>
      <xdr:rowOff>0</xdr:rowOff>
    </xdr:to>
    <xdr:sp macro="" textlink="">
      <xdr:nvSpPr>
        <xdr:cNvPr id="137" name="Line 48"/>
        <xdr:cNvSpPr>
          <a:spLocks noChangeShapeType="1"/>
        </xdr:cNvSpPr>
      </xdr:nvSpPr>
      <xdr:spPr bwMode="auto">
        <a:xfrm>
          <a:off x="11458575" y="21031200"/>
          <a:ext cx="0" cy="2847975"/>
        </a:xfrm>
        <a:prstGeom prst="line">
          <a:avLst/>
        </a:prstGeom>
        <a:noFill/>
        <a:ln w="9525">
          <a:solidFill>
            <a:srgbClr val="000000"/>
          </a:solidFill>
          <a:prstDash val="dashDot"/>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119</xdr:row>
      <xdr:rowOff>104775</xdr:rowOff>
    </xdr:from>
    <xdr:to>
      <xdr:col>28</xdr:col>
      <xdr:colOff>0</xdr:colOff>
      <xdr:row>119</xdr:row>
      <xdr:rowOff>104775</xdr:rowOff>
    </xdr:to>
    <xdr:sp macro="" textlink="">
      <xdr:nvSpPr>
        <xdr:cNvPr id="138" name="Line 55"/>
        <xdr:cNvSpPr>
          <a:spLocks noChangeShapeType="1"/>
        </xdr:cNvSpPr>
      </xdr:nvSpPr>
      <xdr:spPr bwMode="auto">
        <a:xfrm>
          <a:off x="16221075" y="23221950"/>
          <a:ext cx="1390650" cy="0"/>
        </a:xfrm>
        <a:prstGeom prst="line">
          <a:avLst/>
        </a:prstGeom>
        <a:noFill/>
        <a:ln w="127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295275</xdr:colOff>
      <xdr:row>119</xdr:row>
      <xdr:rowOff>104775</xdr:rowOff>
    </xdr:from>
    <xdr:to>
      <xdr:col>19</xdr:col>
      <xdr:colOff>295275</xdr:colOff>
      <xdr:row>122</xdr:row>
      <xdr:rowOff>152400</xdr:rowOff>
    </xdr:to>
    <xdr:sp macro="" textlink="">
      <xdr:nvSpPr>
        <xdr:cNvPr id="139" name="Line 57"/>
        <xdr:cNvSpPr>
          <a:spLocks noChangeShapeType="1"/>
        </xdr:cNvSpPr>
      </xdr:nvSpPr>
      <xdr:spPr bwMode="auto">
        <a:xfrm>
          <a:off x="11753850" y="23221950"/>
          <a:ext cx="0" cy="619125"/>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105</xdr:row>
      <xdr:rowOff>0</xdr:rowOff>
    </xdr:from>
    <xdr:to>
      <xdr:col>9</xdr:col>
      <xdr:colOff>200025</xdr:colOff>
      <xdr:row>105</xdr:row>
      <xdr:rowOff>0</xdr:rowOff>
    </xdr:to>
    <xdr:sp macro="" textlink="">
      <xdr:nvSpPr>
        <xdr:cNvPr id="140" name="Line 70"/>
        <xdr:cNvSpPr>
          <a:spLocks noChangeShapeType="1"/>
        </xdr:cNvSpPr>
      </xdr:nvSpPr>
      <xdr:spPr bwMode="auto">
        <a:xfrm>
          <a:off x="5762625" y="20450175"/>
          <a:ext cx="2000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105</xdr:row>
      <xdr:rowOff>0</xdr:rowOff>
    </xdr:from>
    <xdr:to>
      <xdr:col>10</xdr:col>
      <xdr:colOff>200025</xdr:colOff>
      <xdr:row>105</xdr:row>
      <xdr:rowOff>0</xdr:rowOff>
    </xdr:to>
    <xdr:sp macro="" textlink="">
      <xdr:nvSpPr>
        <xdr:cNvPr id="141" name="Line 72"/>
        <xdr:cNvSpPr>
          <a:spLocks noChangeShapeType="1"/>
        </xdr:cNvSpPr>
      </xdr:nvSpPr>
      <xdr:spPr bwMode="auto">
        <a:xfrm>
          <a:off x="6096000" y="20450175"/>
          <a:ext cx="1619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12</xdr:col>
      <xdr:colOff>38100</xdr:colOff>
      <xdr:row>105</xdr:row>
      <xdr:rowOff>0</xdr:rowOff>
    </xdr:from>
    <xdr:to>
      <xdr:col>24</xdr:col>
      <xdr:colOff>171450</xdr:colOff>
      <xdr:row>105</xdr:row>
      <xdr:rowOff>0</xdr:rowOff>
    </xdr:to>
    <xdr:sp macro="" textlink="">
      <xdr:nvSpPr>
        <xdr:cNvPr id="142" name="Line 73"/>
        <xdr:cNvSpPr>
          <a:spLocks noChangeShapeType="1"/>
        </xdr:cNvSpPr>
      </xdr:nvSpPr>
      <xdr:spPr bwMode="auto">
        <a:xfrm>
          <a:off x="7029450" y="20450175"/>
          <a:ext cx="80581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108</xdr:row>
      <xdr:rowOff>0</xdr:rowOff>
    </xdr:from>
    <xdr:to>
      <xdr:col>9</xdr:col>
      <xdr:colOff>219075</xdr:colOff>
      <xdr:row>108</xdr:row>
      <xdr:rowOff>0</xdr:rowOff>
    </xdr:to>
    <xdr:sp macro="" textlink="">
      <xdr:nvSpPr>
        <xdr:cNvPr id="143" name="Line 74"/>
        <xdr:cNvSpPr>
          <a:spLocks noChangeShapeType="1"/>
        </xdr:cNvSpPr>
      </xdr:nvSpPr>
      <xdr:spPr bwMode="auto">
        <a:xfrm>
          <a:off x="5772150" y="21021675"/>
          <a:ext cx="20955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108</xdr:row>
      <xdr:rowOff>0</xdr:rowOff>
    </xdr:from>
    <xdr:to>
      <xdr:col>10</xdr:col>
      <xdr:colOff>228600</xdr:colOff>
      <xdr:row>108</xdr:row>
      <xdr:rowOff>0</xdr:rowOff>
    </xdr:to>
    <xdr:sp macro="" textlink="">
      <xdr:nvSpPr>
        <xdr:cNvPr id="144" name="Line 75"/>
        <xdr:cNvSpPr>
          <a:spLocks noChangeShapeType="1"/>
        </xdr:cNvSpPr>
      </xdr:nvSpPr>
      <xdr:spPr bwMode="auto">
        <a:xfrm>
          <a:off x="6096000" y="21021675"/>
          <a:ext cx="1905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108</xdr:row>
      <xdr:rowOff>0</xdr:rowOff>
    </xdr:from>
    <xdr:to>
      <xdr:col>16</xdr:col>
      <xdr:colOff>0</xdr:colOff>
      <xdr:row>108</xdr:row>
      <xdr:rowOff>0</xdr:rowOff>
    </xdr:to>
    <xdr:sp macro="" textlink="">
      <xdr:nvSpPr>
        <xdr:cNvPr id="145" name="Line 76"/>
        <xdr:cNvSpPr>
          <a:spLocks noChangeShapeType="1"/>
        </xdr:cNvSpPr>
      </xdr:nvSpPr>
      <xdr:spPr bwMode="auto">
        <a:xfrm>
          <a:off x="6381750" y="21021675"/>
          <a:ext cx="3162300"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105</xdr:row>
      <xdr:rowOff>0</xdr:rowOff>
    </xdr:from>
    <xdr:to>
      <xdr:col>8</xdr:col>
      <xdr:colOff>352425</xdr:colOff>
      <xdr:row>105</xdr:row>
      <xdr:rowOff>0</xdr:rowOff>
    </xdr:to>
    <xdr:sp macro="" textlink="">
      <xdr:nvSpPr>
        <xdr:cNvPr id="146" name="Line 77"/>
        <xdr:cNvSpPr>
          <a:spLocks noChangeShapeType="1"/>
        </xdr:cNvSpPr>
      </xdr:nvSpPr>
      <xdr:spPr bwMode="auto">
        <a:xfrm>
          <a:off x="5410200" y="20450175"/>
          <a:ext cx="3429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108</xdr:row>
      <xdr:rowOff>0</xdr:rowOff>
    </xdr:from>
    <xdr:to>
      <xdr:col>8</xdr:col>
      <xdr:colOff>371475</xdr:colOff>
      <xdr:row>108</xdr:row>
      <xdr:rowOff>0</xdr:rowOff>
    </xdr:to>
    <xdr:sp macro="" textlink="">
      <xdr:nvSpPr>
        <xdr:cNvPr id="147" name="Line 78"/>
        <xdr:cNvSpPr>
          <a:spLocks noChangeShapeType="1"/>
        </xdr:cNvSpPr>
      </xdr:nvSpPr>
      <xdr:spPr bwMode="auto">
        <a:xfrm>
          <a:off x="5410200" y="21021675"/>
          <a:ext cx="3524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47625</xdr:colOff>
      <xdr:row>105</xdr:row>
      <xdr:rowOff>0</xdr:rowOff>
    </xdr:from>
    <xdr:to>
      <xdr:col>12</xdr:col>
      <xdr:colOff>9525</xdr:colOff>
      <xdr:row>105</xdr:row>
      <xdr:rowOff>0</xdr:rowOff>
    </xdr:to>
    <xdr:sp macro="" textlink="">
      <xdr:nvSpPr>
        <xdr:cNvPr id="148" name="Line 79"/>
        <xdr:cNvSpPr>
          <a:spLocks noChangeShapeType="1"/>
        </xdr:cNvSpPr>
      </xdr:nvSpPr>
      <xdr:spPr bwMode="auto">
        <a:xfrm>
          <a:off x="6362700" y="20450175"/>
          <a:ext cx="638175" cy="0"/>
        </a:xfrm>
        <a:prstGeom prst="line">
          <a:avLst/>
        </a:prstGeom>
        <a:noFill/>
        <a:ln w="952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99</xdr:row>
      <xdr:rowOff>9525</xdr:rowOff>
    </xdr:from>
    <xdr:to>
      <xdr:col>10</xdr:col>
      <xdr:colOff>0</xdr:colOff>
      <xdr:row>125</xdr:row>
      <xdr:rowOff>152400</xdr:rowOff>
    </xdr:to>
    <xdr:sp macro="" textlink="">
      <xdr:nvSpPr>
        <xdr:cNvPr id="149" name="Line 81"/>
        <xdr:cNvSpPr>
          <a:spLocks noChangeShapeType="1"/>
        </xdr:cNvSpPr>
      </xdr:nvSpPr>
      <xdr:spPr bwMode="auto">
        <a:xfrm>
          <a:off x="6057900" y="19316700"/>
          <a:ext cx="0" cy="50958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76200</xdr:colOff>
      <xdr:row>119</xdr:row>
      <xdr:rowOff>104775</xdr:rowOff>
    </xdr:from>
    <xdr:to>
      <xdr:col>25</xdr:col>
      <xdr:colOff>333375</xdr:colOff>
      <xdr:row>119</xdr:row>
      <xdr:rowOff>104775</xdr:rowOff>
    </xdr:to>
    <xdr:sp macro="" textlink="">
      <xdr:nvSpPr>
        <xdr:cNvPr id="150" name="Line 85"/>
        <xdr:cNvSpPr>
          <a:spLocks noChangeShapeType="1"/>
        </xdr:cNvSpPr>
      </xdr:nvSpPr>
      <xdr:spPr bwMode="auto">
        <a:xfrm>
          <a:off x="11534775" y="23221950"/>
          <a:ext cx="4410075"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371475</xdr:colOff>
      <xdr:row>119</xdr:row>
      <xdr:rowOff>85725</xdr:rowOff>
    </xdr:from>
    <xdr:to>
      <xdr:col>17</xdr:col>
      <xdr:colOff>180975</xdr:colOff>
      <xdr:row>119</xdr:row>
      <xdr:rowOff>85725</xdr:rowOff>
    </xdr:to>
    <xdr:sp macro="" textlink="">
      <xdr:nvSpPr>
        <xdr:cNvPr id="151" name="Line 87"/>
        <xdr:cNvSpPr>
          <a:spLocks noChangeShapeType="1"/>
        </xdr:cNvSpPr>
      </xdr:nvSpPr>
      <xdr:spPr bwMode="auto">
        <a:xfrm>
          <a:off x="9915525" y="23202900"/>
          <a:ext cx="504825"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254793</xdr:colOff>
      <xdr:row>119</xdr:row>
      <xdr:rowOff>85725</xdr:rowOff>
    </xdr:from>
    <xdr:to>
      <xdr:col>18</xdr:col>
      <xdr:colOff>330993</xdr:colOff>
      <xdr:row>119</xdr:row>
      <xdr:rowOff>85725</xdr:rowOff>
    </xdr:to>
    <xdr:sp macro="" textlink="">
      <xdr:nvSpPr>
        <xdr:cNvPr id="152" name="Line 88"/>
        <xdr:cNvSpPr>
          <a:spLocks noChangeShapeType="1"/>
        </xdr:cNvSpPr>
      </xdr:nvSpPr>
      <xdr:spPr bwMode="auto">
        <a:xfrm>
          <a:off x="10494168" y="23202900"/>
          <a:ext cx="685800" cy="0"/>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115</xdr:row>
      <xdr:rowOff>0</xdr:rowOff>
    </xdr:from>
    <xdr:to>
      <xdr:col>21</xdr:col>
      <xdr:colOff>0</xdr:colOff>
      <xdr:row>119</xdr:row>
      <xdr:rowOff>104775</xdr:rowOff>
    </xdr:to>
    <xdr:sp macro="" textlink="">
      <xdr:nvSpPr>
        <xdr:cNvPr id="153" name="Line 89"/>
        <xdr:cNvSpPr>
          <a:spLocks noChangeShapeType="1"/>
        </xdr:cNvSpPr>
      </xdr:nvSpPr>
      <xdr:spPr bwMode="auto">
        <a:xfrm>
          <a:off x="12925425" y="22355175"/>
          <a:ext cx="0" cy="866775"/>
        </a:xfrm>
        <a:prstGeom prst="line">
          <a:avLst/>
        </a:prstGeom>
        <a:noFill/>
        <a:ln w="952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115</xdr:row>
      <xdr:rowOff>0</xdr:rowOff>
    </xdr:from>
    <xdr:to>
      <xdr:col>22</xdr:col>
      <xdr:colOff>9525</xdr:colOff>
      <xdr:row>115</xdr:row>
      <xdr:rowOff>0</xdr:rowOff>
    </xdr:to>
    <xdr:sp macro="" textlink="">
      <xdr:nvSpPr>
        <xdr:cNvPr id="154" name="Line 90"/>
        <xdr:cNvSpPr>
          <a:spLocks noChangeShapeType="1"/>
        </xdr:cNvSpPr>
      </xdr:nvSpPr>
      <xdr:spPr bwMode="auto">
        <a:xfrm>
          <a:off x="12925425" y="22355175"/>
          <a:ext cx="781050" cy="0"/>
        </a:xfrm>
        <a:prstGeom prst="line">
          <a:avLst/>
        </a:prstGeom>
        <a:noFill/>
        <a:ln w="9525">
          <a:solidFill>
            <a:srgbClr val="000000"/>
          </a:solidFill>
          <a:prstDash val="lg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9525</xdr:colOff>
      <xdr:row>115</xdr:row>
      <xdr:rowOff>0</xdr:rowOff>
    </xdr:from>
    <xdr:to>
      <xdr:col>25</xdr:col>
      <xdr:colOff>352425</xdr:colOff>
      <xdr:row>115</xdr:row>
      <xdr:rowOff>0</xdr:rowOff>
    </xdr:to>
    <xdr:sp macro="" textlink="">
      <xdr:nvSpPr>
        <xdr:cNvPr id="155" name="Line 91"/>
        <xdr:cNvSpPr>
          <a:spLocks noChangeShapeType="1"/>
        </xdr:cNvSpPr>
      </xdr:nvSpPr>
      <xdr:spPr bwMode="auto">
        <a:xfrm>
          <a:off x="15621000" y="22355175"/>
          <a:ext cx="3429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115</xdr:row>
      <xdr:rowOff>0</xdr:rowOff>
    </xdr:from>
    <xdr:to>
      <xdr:col>27</xdr:col>
      <xdr:colOff>523875</xdr:colOff>
      <xdr:row>115</xdr:row>
      <xdr:rowOff>0</xdr:rowOff>
    </xdr:to>
    <xdr:sp macro="" textlink="">
      <xdr:nvSpPr>
        <xdr:cNvPr id="156" name="Line 92"/>
        <xdr:cNvSpPr>
          <a:spLocks noChangeShapeType="1"/>
        </xdr:cNvSpPr>
      </xdr:nvSpPr>
      <xdr:spPr bwMode="auto">
        <a:xfrm>
          <a:off x="16221075" y="22355175"/>
          <a:ext cx="13049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116</xdr:row>
      <xdr:rowOff>66675</xdr:rowOff>
    </xdr:from>
    <xdr:to>
      <xdr:col>11</xdr:col>
      <xdr:colOff>0</xdr:colOff>
      <xdr:row>123</xdr:row>
      <xdr:rowOff>152400</xdr:rowOff>
    </xdr:to>
    <xdr:sp macro="" textlink="">
      <xdr:nvSpPr>
        <xdr:cNvPr id="157" name="Line 93"/>
        <xdr:cNvSpPr>
          <a:spLocks noChangeShapeType="1"/>
        </xdr:cNvSpPr>
      </xdr:nvSpPr>
      <xdr:spPr bwMode="auto">
        <a:xfrm>
          <a:off x="6315075" y="22612350"/>
          <a:ext cx="0" cy="1419225"/>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114</xdr:row>
      <xdr:rowOff>9525</xdr:rowOff>
    </xdr:from>
    <xdr:to>
      <xdr:col>8</xdr:col>
      <xdr:colOff>371475</xdr:colOff>
      <xdr:row>114</xdr:row>
      <xdr:rowOff>9525</xdr:rowOff>
    </xdr:to>
    <xdr:sp macro="" textlink="">
      <xdr:nvSpPr>
        <xdr:cNvPr id="158" name="Line 94"/>
        <xdr:cNvSpPr>
          <a:spLocks noChangeShapeType="1"/>
        </xdr:cNvSpPr>
      </xdr:nvSpPr>
      <xdr:spPr bwMode="auto">
        <a:xfrm>
          <a:off x="5400675" y="22174200"/>
          <a:ext cx="361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381000</xdr:colOff>
      <xdr:row>105</xdr:row>
      <xdr:rowOff>85725</xdr:rowOff>
    </xdr:from>
    <xdr:to>
      <xdr:col>29</xdr:col>
      <xdr:colOff>0</xdr:colOff>
      <xdr:row>105</xdr:row>
      <xdr:rowOff>85725</xdr:rowOff>
    </xdr:to>
    <xdr:cxnSp macro="">
      <xdr:nvCxnSpPr>
        <xdr:cNvPr id="159" name="Straight Arrow Connector 2"/>
        <xdr:cNvCxnSpPr>
          <a:cxnSpLocks noChangeShapeType="1"/>
        </xdr:cNvCxnSpPr>
      </xdr:nvCxnSpPr>
      <xdr:spPr bwMode="auto">
        <a:xfrm>
          <a:off x="17383125" y="20535900"/>
          <a:ext cx="838200" cy="0"/>
        </a:xfrm>
        <a:prstGeom prst="straightConnector1">
          <a:avLst/>
        </a:prstGeom>
        <a:noFill/>
        <a:ln w="9525" algn="ctr">
          <a:solidFill>
            <a:srgbClr val="000000"/>
          </a:solidFill>
          <a:round/>
          <a:headEnd/>
          <a:tailEnd type="arrow" w="med" len="med"/>
        </a:ln>
      </xdr:spPr>
    </xdr:cxnSp>
    <xdr:clientData/>
  </xdr:twoCellAnchor>
  <xdr:twoCellAnchor>
    <xdr:from>
      <xdr:col>26</xdr:col>
      <xdr:colOff>28575</xdr:colOff>
      <xdr:row>105</xdr:row>
      <xdr:rowOff>85725</xdr:rowOff>
    </xdr:from>
    <xdr:to>
      <xdr:col>27</xdr:col>
      <xdr:colOff>447675</xdr:colOff>
      <xdr:row>105</xdr:row>
      <xdr:rowOff>85725</xdr:rowOff>
    </xdr:to>
    <xdr:cxnSp macro="">
      <xdr:nvCxnSpPr>
        <xdr:cNvPr id="160" name="Straight Arrow Connector 4"/>
        <xdr:cNvCxnSpPr>
          <a:cxnSpLocks noChangeShapeType="1"/>
        </xdr:cNvCxnSpPr>
      </xdr:nvCxnSpPr>
      <xdr:spPr bwMode="auto">
        <a:xfrm flipH="1">
          <a:off x="16249650" y="20535900"/>
          <a:ext cx="1200150" cy="0"/>
        </a:xfrm>
        <a:prstGeom prst="straightConnector1">
          <a:avLst/>
        </a:prstGeom>
        <a:noFill/>
        <a:ln w="9525" algn="ctr">
          <a:solidFill>
            <a:srgbClr val="000000"/>
          </a:solidFill>
          <a:round/>
          <a:headEnd/>
          <a:tailEnd type="arrow" w="med" len="med"/>
        </a:ln>
      </xdr:spPr>
    </xdr:cxnSp>
    <xdr:clientData/>
  </xdr:twoCellAnchor>
  <xdr:twoCellAnchor>
    <xdr:from>
      <xdr:col>8</xdr:col>
      <xdr:colOff>0</xdr:colOff>
      <xdr:row>13</xdr:row>
      <xdr:rowOff>0</xdr:rowOff>
    </xdr:from>
    <xdr:to>
      <xdr:col>9</xdr:col>
      <xdr:colOff>0</xdr:colOff>
      <xdr:row>13</xdr:row>
      <xdr:rowOff>0</xdr:rowOff>
    </xdr:to>
    <xdr:sp macro="" textlink="">
      <xdr:nvSpPr>
        <xdr:cNvPr id="161" name="Line 27"/>
        <xdr:cNvSpPr>
          <a:spLocks noChangeShapeType="1"/>
        </xdr:cNvSpPr>
      </xdr:nvSpPr>
      <xdr:spPr bwMode="auto">
        <a:xfrm>
          <a:off x="5400675" y="2619375"/>
          <a:ext cx="36195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13</xdr:row>
      <xdr:rowOff>0</xdr:rowOff>
    </xdr:from>
    <xdr:to>
      <xdr:col>9</xdr:col>
      <xdr:colOff>266700</xdr:colOff>
      <xdr:row>13</xdr:row>
      <xdr:rowOff>0</xdr:rowOff>
    </xdr:to>
    <xdr:sp macro="" textlink="">
      <xdr:nvSpPr>
        <xdr:cNvPr id="162" name="Line 29"/>
        <xdr:cNvSpPr>
          <a:spLocks noChangeShapeType="1"/>
        </xdr:cNvSpPr>
      </xdr:nvSpPr>
      <xdr:spPr bwMode="auto">
        <a:xfrm>
          <a:off x="5791200"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13</xdr:row>
      <xdr:rowOff>0</xdr:rowOff>
    </xdr:from>
    <xdr:to>
      <xdr:col>10</xdr:col>
      <xdr:colOff>266700</xdr:colOff>
      <xdr:row>13</xdr:row>
      <xdr:rowOff>0</xdr:rowOff>
    </xdr:to>
    <xdr:sp macro="" textlink="">
      <xdr:nvSpPr>
        <xdr:cNvPr id="163" name="Line 30"/>
        <xdr:cNvSpPr>
          <a:spLocks noChangeShapeType="1"/>
        </xdr:cNvSpPr>
      </xdr:nvSpPr>
      <xdr:spPr bwMode="auto">
        <a:xfrm>
          <a:off x="6105525" y="26193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9</xdr:col>
      <xdr:colOff>0</xdr:colOff>
      <xdr:row>13</xdr:row>
      <xdr:rowOff>0</xdr:rowOff>
    </xdr:to>
    <xdr:sp macro="" textlink="">
      <xdr:nvSpPr>
        <xdr:cNvPr id="164" name="Line 27"/>
        <xdr:cNvSpPr>
          <a:spLocks noChangeShapeType="1"/>
        </xdr:cNvSpPr>
      </xdr:nvSpPr>
      <xdr:spPr bwMode="auto">
        <a:xfrm>
          <a:off x="5400675" y="2619375"/>
          <a:ext cx="36195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13</xdr:row>
      <xdr:rowOff>0</xdr:rowOff>
    </xdr:from>
    <xdr:to>
      <xdr:col>9</xdr:col>
      <xdr:colOff>266700</xdr:colOff>
      <xdr:row>13</xdr:row>
      <xdr:rowOff>0</xdr:rowOff>
    </xdr:to>
    <xdr:sp macro="" textlink="">
      <xdr:nvSpPr>
        <xdr:cNvPr id="165" name="Line 29"/>
        <xdr:cNvSpPr>
          <a:spLocks noChangeShapeType="1"/>
        </xdr:cNvSpPr>
      </xdr:nvSpPr>
      <xdr:spPr bwMode="auto">
        <a:xfrm>
          <a:off x="5791200"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13</xdr:row>
      <xdr:rowOff>0</xdr:rowOff>
    </xdr:from>
    <xdr:to>
      <xdr:col>10</xdr:col>
      <xdr:colOff>266700</xdr:colOff>
      <xdr:row>13</xdr:row>
      <xdr:rowOff>0</xdr:rowOff>
    </xdr:to>
    <xdr:sp macro="" textlink="">
      <xdr:nvSpPr>
        <xdr:cNvPr id="166" name="Line 30"/>
        <xdr:cNvSpPr>
          <a:spLocks noChangeShapeType="1"/>
        </xdr:cNvSpPr>
      </xdr:nvSpPr>
      <xdr:spPr bwMode="auto">
        <a:xfrm>
          <a:off x="6105525" y="2619375"/>
          <a:ext cx="209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0</xdr:rowOff>
    </xdr:from>
    <xdr:to>
      <xdr:col>9</xdr:col>
      <xdr:colOff>0</xdr:colOff>
      <xdr:row>58</xdr:row>
      <xdr:rowOff>0</xdr:rowOff>
    </xdr:to>
    <xdr:sp macro="" textlink="">
      <xdr:nvSpPr>
        <xdr:cNvPr id="167" name="Line 27"/>
        <xdr:cNvSpPr>
          <a:spLocks noChangeShapeType="1"/>
        </xdr:cNvSpPr>
      </xdr:nvSpPr>
      <xdr:spPr bwMode="auto">
        <a:xfrm>
          <a:off x="4876800" y="2619375"/>
          <a:ext cx="60960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58</xdr:row>
      <xdr:rowOff>0</xdr:rowOff>
    </xdr:from>
    <xdr:to>
      <xdr:col>9</xdr:col>
      <xdr:colOff>266700</xdr:colOff>
      <xdr:row>58</xdr:row>
      <xdr:rowOff>0</xdr:rowOff>
    </xdr:to>
    <xdr:sp macro="" textlink="">
      <xdr:nvSpPr>
        <xdr:cNvPr id="168" name="Line 29"/>
        <xdr:cNvSpPr>
          <a:spLocks noChangeShapeType="1"/>
        </xdr:cNvSpPr>
      </xdr:nvSpPr>
      <xdr:spPr bwMode="auto">
        <a:xfrm>
          <a:off x="5514975"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58</xdr:row>
      <xdr:rowOff>0</xdr:rowOff>
    </xdr:from>
    <xdr:to>
      <xdr:col>10</xdr:col>
      <xdr:colOff>266700</xdr:colOff>
      <xdr:row>58</xdr:row>
      <xdr:rowOff>0</xdr:rowOff>
    </xdr:to>
    <xdr:sp macro="" textlink="">
      <xdr:nvSpPr>
        <xdr:cNvPr id="169" name="Line 30"/>
        <xdr:cNvSpPr>
          <a:spLocks noChangeShapeType="1"/>
        </xdr:cNvSpPr>
      </xdr:nvSpPr>
      <xdr:spPr bwMode="auto">
        <a:xfrm>
          <a:off x="6143625" y="2619375"/>
          <a:ext cx="219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0</xdr:rowOff>
    </xdr:from>
    <xdr:to>
      <xdr:col>9</xdr:col>
      <xdr:colOff>0</xdr:colOff>
      <xdr:row>58</xdr:row>
      <xdr:rowOff>0</xdr:rowOff>
    </xdr:to>
    <xdr:sp macro="" textlink="">
      <xdr:nvSpPr>
        <xdr:cNvPr id="170" name="Line 27"/>
        <xdr:cNvSpPr>
          <a:spLocks noChangeShapeType="1"/>
        </xdr:cNvSpPr>
      </xdr:nvSpPr>
      <xdr:spPr bwMode="auto">
        <a:xfrm>
          <a:off x="4876800" y="2619375"/>
          <a:ext cx="60960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58</xdr:row>
      <xdr:rowOff>0</xdr:rowOff>
    </xdr:from>
    <xdr:to>
      <xdr:col>9</xdr:col>
      <xdr:colOff>266700</xdr:colOff>
      <xdr:row>58</xdr:row>
      <xdr:rowOff>0</xdr:rowOff>
    </xdr:to>
    <xdr:sp macro="" textlink="">
      <xdr:nvSpPr>
        <xdr:cNvPr id="171" name="Line 29"/>
        <xdr:cNvSpPr>
          <a:spLocks noChangeShapeType="1"/>
        </xdr:cNvSpPr>
      </xdr:nvSpPr>
      <xdr:spPr bwMode="auto">
        <a:xfrm>
          <a:off x="5514975"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58</xdr:row>
      <xdr:rowOff>0</xdr:rowOff>
    </xdr:from>
    <xdr:to>
      <xdr:col>10</xdr:col>
      <xdr:colOff>266700</xdr:colOff>
      <xdr:row>58</xdr:row>
      <xdr:rowOff>0</xdr:rowOff>
    </xdr:to>
    <xdr:sp macro="" textlink="">
      <xdr:nvSpPr>
        <xdr:cNvPr id="172" name="Line 30"/>
        <xdr:cNvSpPr>
          <a:spLocks noChangeShapeType="1"/>
        </xdr:cNvSpPr>
      </xdr:nvSpPr>
      <xdr:spPr bwMode="auto">
        <a:xfrm>
          <a:off x="6143625" y="2619375"/>
          <a:ext cx="219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0</xdr:rowOff>
    </xdr:from>
    <xdr:to>
      <xdr:col>9</xdr:col>
      <xdr:colOff>0</xdr:colOff>
      <xdr:row>58</xdr:row>
      <xdr:rowOff>0</xdr:rowOff>
    </xdr:to>
    <xdr:sp macro="" textlink="">
      <xdr:nvSpPr>
        <xdr:cNvPr id="173" name="Line 27"/>
        <xdr:cNvSpPr>
          <a:spLocks noChangeShapeType="1"/>
        </xdr:cNvSpPr>
      </xdr:nvSpPr>
      <xdr:spPr bwMode="auto">
        <a:xfrm>
          <a:off x="4876800" y="2619375"/>
          <a:ext cx="60960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58</xdr:row>
      <xdr:rowOff>0</xdr:rowOff>
    </xdr:from>
    <xdr:to>
      <xdr:col>9</xdr:col>
      <xdr:colOff>266700</xdr:colOff>
      <xdr:row>58</xdr:row>
      <xdr:rowOff>0</xdr:rowOff>
    </xdr:to>
    <xdr:sp macro="" textlink="">
      <xdr:nvSpPr>
        <xdr:cNvPr id="174" name="Line 29"/>
        <xdr:cNvSpPr>
          <a:spLocks noChangeShapeType="1"/>
        </xdr:cNvSpPr>
      </xdr:nvSpPr>
      <xdr:spPr bwMode="auto">
        <a:xfrm>
          <a:off x="5514975"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58</xdr:row>
      <xdr:rowOff>0</xdr:rowOff>
    </xdr:from>
    <xdr:to>
      <xdr:col>10</xdr:col>
      <xdr:colOff>266700</xdr:colOff>
      <xdr:row>58</xdr:row>
      <xdr:rowOff>0</xdr:rowOff>
    </xdr:to>
    <xdr:sp macro="" textlink="">
      <xdr:nvSpPr>
        <xdr:cNvPr id="175" name="Line 30"/>
        <xdr:cNvSpPr>
          <a:spLocks noChangeShapeType="1"/>
        </xdr:cNvSpPr>
      </xdr:nvSpPr>
      <xdr:spPr bwMode="auto">
        <a:xfrm>
          <a:off x="6143625" y="2619375"/>
          <a:ext cx="219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102</xdr:row>
      <xdr:rowOff>0</xdr:rowOff>
    </xdr:from>
    <xdr:to>
      <xdr:col>9</xdr:col>
      <xdr:colOff>0</xdr:colOff>
      <xdr:row>102</xdr:row>
      <xdr:rowOff>0</xdr:rowOff>
    </xdr:to>
    <xdr:sp macro="" textlink="">
      <xdr:nvSpPr>
        <xdr:cNvPr id="176" name="Line 27"/>
        <xdr:cNvSpPr>
          <a:spLocks noChangeShapeType="1"/>
        </xdr:cNvSpPr>
      </xdr:nvSpPr>
      <xdr:spPr bwMode="auto">
        <a:xfrm>
          <a:off x="4876800" y="2619375"/>
          <a:ext cx="60960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102</xdr:row>
      <xdr:rowOff>0</xdr:rowOff>
    </xdr:from>
    <xdr:to>
      <xdr:col>9</xdr:col>
      <xdr:colOff>266700</xdr:colOff>
      <xdr:row>102</xdr:row>
      <xdr:rowOff>0</xdr:rowOff>
    </xdr:to>
    <xdr:sp macro="" textlink="">
      <xdr:nvSpPr>
        <xdr:cNvPr id="177" name="Line 29"/>
        <xdr:cNvSpPr>
          <a:spLocks noChangeShapeType="1"/>
        </xdr:cNvSpPr>
      </xdr:nvSpPr>
      <xdr:spPr bwMode="auto">
        <a:xfrm>
          <a:off x="5514975"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102</xdr:row>
      <xdr:rowOff>0</xdr:rowOff>
    </xdr:from>
    <xdr:to>
      <xdr:col>10</xdr:col>
      <xdr:colOff>266700</xdr:colOff>
      <xdr:row>102</xdr:row>
      <xdr:rowOff>0</xdr:rowOff>
    </xdr:to>
    <xdr:sp macro="" textlink="">
      <xdr:nvSpPr>
        <xdr:cNvPr id="178" name="Line 30"/>
        <xdr:cNvSpPr>
          <a:spLocks noChangeShapeType="1"/>
        </xdr:cNvSpPr>
      </xdr:nvSpPr>
      <xdr:spPr bwMode="auto">
        <a:xfrm>
          <a:off x="6143625" y="2619375"/>
          <a:ext cx="219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102</xdr:row>
      <xdr:rowOff>0</xdr:rowOff>
    </xdr:from>
    <xdr:to>
      <xdr:col>9</xdr:col>
      <xdr:colOff>0</xdr:colOff>
      <xdr:row>102</xdr:row>
      <xdr:rowOff>0</xdr:rowOff>
    </xdr:to>
    <xdr:sp macro="" textlink="">
      <xdr:nvSpPr>
        <xdr:cNvPr id="179" name="Line 27"/>
        <xdr:cNvSpPr>
          <a:spLocks noChangeShapeType="1"/>
        </xdr:cNvSpPr>
      </xdr:nvSpPr>
      <xdr:spPr bwMode="auto">
        <a:xfrm>
          <a:off x="4876800" y="2619375"/>
          <a:ext cx="60960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102</xdr:row>
      <xdr:rowOff>0</xdr:rowOff>
    </xdr:from>
    <xdr:to>
      <xdr:col>9</xdr:col>
      <xdr:colOff>266700</xdr:colOff>
      <xdr:row>102</xdr:row>
      <xdr:rowOff>0</xdr:rowOff>
    </xdr:to>
    <xdr:sp macro="" textlink="">
      <xdr:nvSpPr>
        <xdr:cNvPr id="180" name="Line 29"/>
        <xdr:cNvSpPr>
          <a:spLocks noChangeShapeType="1"/>
        </xdr:cNvSpPr>
      </xdr:nvSpPr>
      <xdr:spPr bwMode="auto">
        <a:xfrm>
          <a:off x="5514975"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102</xdr:row>
      <xdr:rowOff>0</xdr:rowOff>
    </xdr:from>
    <xdr:to>
      <xdr:col>10</xdr:col>
      <xdr:colOff>266700</xdr:colOff>
      <xdr:row>102</xdr:row>
      <xdr:rowOff>0</xdr:rowOff>
    </xdr:to>
    <xdr:sp macro="" textlink="">
      <xdr:nvSpPr>
        <xdr:cNvPr id="181" name="Line 30"/>
        <xdr:cNvSpPr>
          <a:spLocks noChangeShapeType="1"/>
        </xdr:cNvSpPr>
      </xdr:nvSpPr>
      <xdr:spPr bwMode="auto">
        <a:xfrm>
          <a:off x="6143625" y="2619375"/>
          <a:ext cx="219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102</xdr:row>
      <xdr:rowOff>0</xdr:rowOff>
    </xdr:from>
    <xdr:to>
      <xdr:col>9</xdr:col>
      <xdr:colOff>0</xdr:colOff>
      <xdr:row>102</xdr:row>
      <xdr:rowOff>0</xdr:rowOff>
    </xdr:to>
    <xdr:sp macro="" textlink="">
      <xdr:nvSpPr>
        <xdr:cNvPr id="182" name="Line 27"/>
        <xdr:cNvSpPr>
          <a:spLocks noChangeShapeType="1"/>
        </xdr:cNvSpPr>
      </xdr:nvSpPr>
      <xdr:spPr bwMode="auto">
        <a:xfrm>
          <a:off x="4876800" y="2619375"/>
          <a:ext cx="609600" cy="0"/>
        </a:xfrm>
        <a:prstGeom prst="line">
          <a:avLst/>
        </a:prstGeom>
        <a:noFill/>
        <a:ln w="952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102</xdr:row>
      <xdr:rowOff>0</xdr:rowOff>
    </xdr:from>
    <xdr:to>
      <xdr:col>9</xdr:col>
      <xdr:colOff>266700</xdr:colOff>
      <xdr:row>102</xdr:row>
      <xdr:rowOff>0</xdr:rowOff>
    </xdr:to>
    <xdr:sp macro="" textlink="">
      <xdr:nvSpPr>
        <xdr:cNvPr id="183" name="Line 29"/>
        <xdr:cNvSpPr>
          <a:spLocks noChangeShapeType="1"/>
        </xdr:cNvSpPr>
      </xdr:nvSpPr>
      <xdr:spPr bwMode="auto">
        <a:xfrm>
          <a:off x="5514975" y="2619375"/>
          <a:ext cx="238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47625</xdr:colOff>
      <xdr:row>102</xdr:row>
      <xdr:rowOff>0</xdr:rowOff>
    </xdr:from>
    <xdr:to>
      <xdr:col>10</xdr:col>
      <xdr:colOff>266700</xdr:colOff>
      <xdr:row>102</xdr:row>
      <xdr:rowOff>0</xdr:rowOff>
    </xdr:to>
    <xdr:sp macro="" textlink="">
      <xdr:nvSpPr>
        <xdr:cNvPr id="184" name="Line 30"/>
        <xdr:cNvSpPr>
          <a:spLocks noChangeShapeType="1"/>
        </xdr:cNvSpPr>
      </xdr:nvSpPr>
      <xdr:spPr bwMode="auto">
        <a:xfrm>
          <a:off x="6143625" y="2619375"/>
          <a:ext cx="219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CC%202014-15\Downtime%20Analysi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CC%202013-14\OVB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CC%202013-14\ENVP.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CC%202008-09\Downtime%20Analysi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FICC%202008-09\OVBL080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ICC%202008-09\ENV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FICC%202007-08\Downtime%20Analysis%20for%202007-08.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FICC%202007-08\OVBL07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CC%202007-08\ENVP_0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CC%202014-15\OVB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CC%202014-15\ENV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ICC%202009-10\Downtime%20Analysi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CC%202009-10\OVBL09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ICC%202009-10\ENV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FICC%202014-15\ENV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FICC%202014-15\OVB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CC%202013-14\Downtime%20Analys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Annual"/>
      <sheetName val="Category-wise(annual)"/>
      <sheetName val="Frequency of interruptions"/>
      <sheetName val="Category-wise_month"/>
      <sheetName val="Prod_plan"/>
      <sheetName val="On-stream days"/>
      <sheetName val="Sheet1"/>
      <sheetName val="Sheet2"/>
      <sheetName val="Sheet3"/>
    </sheetNames>
    <sheetDataSet>
      <sheetData sheetId="0"/>
      <sheetData sheetId="1"/>
      <sheetData sheetId="2"/>
      <sheetData sheetId="3"/>
      <sheetData sheetId="4"/>
      <sheetData sheetId="5"/>
      <sheetData sheetId="6">
        <row r="6">
          <cell r="B6">
            <v>30</v>
          </cell>
          <cell r="C6">
            <v>31</v>
          </cell>
          <cell r="D6">
            <v>30</v>
          </cell>
          <cell r="F6">
            <v>31</v>
          </cell>
          <cell r="G6">
            <v>31</v>
          </cell>
          <cell r="H6">
            <v>19.2</v>
          </cell>
          <cell r="J6">
            <v>31</v>
          </cell>
          <cell r="K6">
            <v>30</v>
          </cell>
          <cell r="L6">
            <v>30.9</v>
          </cell>
          <cell r="N6">
            <v>31</v>
          </cell>
          <cell r="O6">
            <v>28</v>
          </cell>
          <cell r="P6">
            <v>2.5500000000000007</v>
          </cell>
        </row>
        <row r="31">
          <cell r="B31">
            <v>29.93</v>
          </cell>
          <cell r="C31">
            <v>30.97</v>
          </cell>
          <cell r="D31">
            <v>29.07</v>
          </cell>
          <cell r="F31">
            <v>31</v>
          </cell>
          <cell r="G31">
            <v>31</v>
          </cell>
          <cell r="H31">
            <v>16.78</v>
          </cell>
          <cell r="J31">
            <v>29.14</v>
          </cell>
          <cell r="K31">
            <v>30</v>
          </cell>
          <cell r="L31">
            <v>30.94</v>
          </cell>
          <cell r="N31">
            <v>31</v>
          </cell>
          <cell r="O31">
            <v>28</v>
          </cell>
          <cell r="P31">
            <v>2.3299999999999983</v>
          </cell>
        </row>
      </sheetData>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htha"/>
      <sheetName val="NG"/>
      <sheetName val="Balance"/>
      <sheetName val="A"/>
      <sheetName val="B"/>
      <sheetName val="D"/>
      <sheetName val="Steam_power"/>
      <sheetName val="E"/>
      <sheetName val="Elect_distr"/>
      <sheetName val="C"/>
      <sheetName val="Neem coated"/>
      <sheetName val="Sheet1"/>
    </sheetNames>
    <sheetDataSet>
      <sheetData sheetId="0" refreshError="1"/>
      <sheetData sheetId="1">
        <row r="15">
          <cell r="C15">
            <v>179</v>
          </cell>
        </row>
      </sheetData>
      <sheetData sheetId="2">
        <row r="39">
          <cell r="B39">
            <v>377.08600000000001</v>
          </cell>
        </row>
      </sheetData>
      <sheetData sheetId="3">
        <row r="3">
          <cell r="C3">
            <v>41365</v>
          </cell>
        </row>
        <row r="302">
          <cell r="C302">
            <v>50473</v>
          </cell>
          <cell r="D302">
            <v>18921</v>
          </cell>
          <cell r="E302">
            <v>47256</v>
          </cell>
          <cell r="F302">
            <v>52465</v>
          </cell>
          <cell r="G302">
            <v>53969</v>
          </cell>
          <cell r="H302">
            <v>52032</v>
          </cell>
          <cell r="I302">
            <v>54240</v>
          </cell>
          <cell r="J302">
            <v>52041</v>
          </cell>
          <cell r="K302">
            <v>50602</v>
          </cell>
          <cell r="L302">
            <v>52003</v>
          </cell>
          <cell r="M302">
            <v>48272</v>
          </cell>
          <cell r="N302">
            <v>54098</v>
          </cell>
        </row>
        <row r="328">
          <cell r="C328">
            <v>86537</v>
          </cell>
          <cell r="D328">
            <v>37240</v>
          </cell>
          <cell r="E328">
            <v>82637</v>
          </cell>
          <cell r="F328">
            <v>90316</v>
          </cell>
          <cell r="G328">
            <v>93914</v>
          </cell>
          <cell r="H328">
            <v>90800</v>
          </cell>
          <cell r="I328">
            <v>93830</v>
          </cell>
          <cell r="J328">
            <v>88990</v>
          </cell>
          <cell r="K328">
            <v>85944.000001000008</v>
          </cell>
          <cell r="L328">
            <v>88981</v>
          </cell>
          <cell r="M328">
            <v>78805</v>
          </cell>
          <cell r="N328">
            <v>88535</v>
          </cell>
        </row>
      </sheetData>
      <sheetData sheetId="4">
        <row r="2">
          <cell r="Q2">
            <v>8179.1450000000004</v>
          </cell>
        </row>
      </sheetData>
      <sheetData sheetId="5">
        <row r="6">
          <cell r="C6">
            <v>41365</v>
          </cell>
        </row>
      </sheetData>
      <sheetData sheetId="6">
        <row r="69">
          <cell r="C69">
            <v>11738319</v>
          </cell>
        </row>
      </sheetData>
      <sheetData sheetId="7">
        <row r="34">
          <cell r="I34">
            <v>0</v>
          </cell>
        </row>
      </sheetData>
      <sheetData sheetId="8" refreshError="1"/>
      <sheetData sheetId="9" refreshError="1"/>
      <sheetData sheetId="10" refreshError="1"/>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M"/>
      <sheetName val="VP_1"/>
      <sheetName val="VP_2"/>
      <sheetName val="VP"/>
      <sheetName val="Cost rvw"/>
      <sheetName val="Unprod_energy"/>
      <sheetName val="Daily NG-Naphtha"/>
      <sheetName val="Overall"/>
      <sheetName val="Records"/>
      <sheetName val="Prod Plan"/>
      <sheetName val="Sheet1"/>
      <sheetName val="Performance at aglance"/>
      <sheetName val="Sheet2"/>
    </sheetNames>
    <sheetDataSet>
      <sheetData sheetId="0"/>
      <sheetData sheetId="1">
        <row r="55">
          <cell r="D55">
            <v>0.19600000000000001</v>
          </cell>
        </row>
      </sheetData>
      <sheetData sheetId="2">
        <row r="33">
          <cell r="G33">
            <v>7.8650000000000002</v>
          </cell>
        </row>
      </sheetData>
      <sheetData sheetId="3">
        <row r="4">
          <cell r="D4">
            <v>41365</v>
          </cell>
        </row>
        <row r="45">
          <cell r="D45">
            <v>7.7849999999999993</v>
          </cell>
          <cell r="E45">
            <v>9.7960000000000012</v>
          </cell>
          <cell r="F45">
            <v>8.0259999999999998</v>
          </cell>
          <cell r="H45">
            <v>7.99</v>
          </cell>
          <cell r="I45">
            <v>7.81</v>
          </cell>
          <cell r="J45">
            <v>7.6760000000000002</v>
          </cell>
          <cell r="M45">
            <v>7.6929999999999996</v>
          </cell>
          <cell r="N45">
            <v>7.7140000000000004</v>
          </cell>
          <cell r="O45">
            <v>8.1530000000000005</v>
          </cell>
          <cell r="R45">
            <v>7.609</v>
          </cell>
          <cell r="S45">
            <v>7.625</v>
          </cell>
          <cell r="T45">
            <v>7.7460000000000004</v>
          </cell>
        </row>
      </sheetData>
      <sheetData sheetId="4" refreshError="1"/>
      <sheetData sheetId="5">
        <row r="6">
          <cell r="A6">
            <v>41365</v>
          </cell>
        </row>
      </sheetData>
      <sheetData sheetId="6" refreshError="1"/>
      <sheetData sheetId="7" refreshError="1"/>
      <sheetData sheetId="8" refreshError="1"/>
      <sheetData sheetId="9">
        <row r="13">
          <cell r="D13">
            <v>2</v>
          </cell>
        </row>
      </sheetData>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Annual"/>
      <sheetName val="Category-wise(annual)"/>
      <sheetName val="Frequency of interruptions"/>
      <sheetName val="Category-wise_month"/>
      <sheetName val="Prod_plan"/>
      <sheetName val="On-stream days"/>
      <sheetName val="PROD. PLAN_2007-08"/>
    </sheetNames>
    <sheetDataSet>
      <sheetData sheetId="0" refreshError="1"/>
      <sheetData sheetId="1" refreshError="1"/>
      <sheetData sheetId="2" refreshError="1"/>
      <sheetData sheetId="3" refreshError="1"/>
      <sheetData sheetId="4" refreshError="1"/>
      <sheetData sheetId="5" refreshError="1"/>
      <sheetData sheetId="6" refreshError="1">
        <row r="5">
          <cell r="B5">
            <v>0</v>
          </cell>
        </row>
        <row r="6">
          <cell r="B6">
            <v>30</v>
          </cell>
          <cell r="C6">
            <v>11.260000000000002</v>
          </cell>
          <cell r="D6">
            <v>30</v>
          </cell>
          <cell r="F6">
            <v>28.79</v>
          </cell>
          <cell r="G6">
            <v>31</v>
          </cell>
          <cell r="H6">
            <v>27.82</v>
          </cell>
          <cell r="J6">
            <v>31</v>
          </cell>
          <cell r="K6">
            <v>30</v>
          </cell>
          <cell r="L6">
            <v>31</v>
          </cell>
          <cell r="N6">
            <v>26.12</v>
          </cell>
          <cell r="O6">
            <v>28</v>
          </cell>
          <cell r="P6">
            <v>29.52</v>
          </cell>
        </row>
        <row r="31">
          <cell r="B31">
            <v>29.81</v>
          </cell>
          <cell r="C31">
            <v>9.66</v>
          </cell>
          <cell r="D31">
            <v>27.33</v>
          </cell>
          <cell r="F31">
            <v>27.286999999999999</v>
          </cell>
          <cell r="G31">
            <v>31</v>
          </cell>
          <cell r="H31">
            <v>27.759999999999998</v>
          </cell>
          <cell r="J31">
            <v>30.82</v>
          </cell>
          <cell r="K31">
            <v>28.18</v>
          </cell>
          <cell r="L31">
            <v>30.92</v>
          </cell>
          <cell r="N31">
            <v>26.2</v>
          </cell>
          <cell r="O31">
            <v>28</v>
          </cell>
          <cell r="P31">
            <v>29.35</v>
          </cell>
        </row>
      </sheetData>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htha"/>
      <sheetName val="NG"/>
      <sheetName val="Balance"/>
      <sheetName val="A"/>
      <sheetName val="B"/>
      <sheetName val="D"/>
      <sheetName val="Steam_power"/>
      <sheetName val="E"/>
      <sheetName val="Elect_distr"/>
      <sheetName val="C"/>
    </sheetNames>
    <sheetDataSet>
      <sheetData sheetId="0" refreshError="1"/>
      <sheetData sheetId="1" refreshError="1"/>
      <sheetData sheetId="2" refreshError="1"/>
      <sheetData sheetId="3">
        <row r="3">
          <cell r="C3">
            <v>39539</v>
          </cell>
        </row>
        <row r="285">
          <cell r="C285">
            <v>45401</v>
          </cell>
          <cell r="D285">
            <v>15131</v>
          </cell>
          <cell r="E285">
            <v>41257</v>
          </cell>
          <cell r="F285">
            <v>38799</v>
          </cell>
          <cell r="G285">
            <v>44219</v>
          </cell>
          <cell r="H285">
            <v>40332</v>
          </cell>
          <cell r="I285">
            <v>47559</v>
          </cell>
          <cell r="J285">
            <v>47114</v>
          </cell>
          <cell r="K285">
            <v>48020</v>
          </cell>
          <cell r="L285">
            <v>40623</v>
          </cell>
          <cell r="M285">
            <v>42824</v>
          </cell>
          <cell r="N285">
            <v>45796</v>
          </cell>
        </row>
        <row r="310">
          <cell r="C310">
            <v>79257</v>
          </cell>
          <cell r="D310">
            <v>24810</v>
          </cell>
          <cell r="E310">
            <v>70870</v>
          </cell>
          <cell r="F310">
            <v>69244</v>
          </cell>
          <cell r="G310">
            <v>76990</v>
          </cell>
          <cell r="H310">
            <v>70898</v>
          </cell>
          <cell r="I310">
            <v>81804</v>
          </cell>
          <cell r="J310">
            <v>77696</v>
          </cell>
          <cell r="K310">
            <v>84682</v>
          </cell>
          <cell r="L310">
            <v>71471</v>
          </cell>
          <cell r="M310">
            <v>77693</v>
          </cell>
          <cell r="N310">
            <v>80301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M"/>
      <sheetName val="VP_1"/>
      <sheetName val="VP_2"/>
      <sheetName val="VP"/>
      <sheetName val="Cost rvw"/>
      <sheetName val="Unprod_energy"/>
      <sheetName val="Daily NG-Naphtha"/>
      <sheetName val="Overall"/>
      <sheetName val="Records"/>
    </sheetNames>
    <sheetDataSet>
      <sheetData sheetId="0" refreshError="1"/>
      <sheetData sheetId="1" refreshError="1"/>
      <sheetData sheetId="2" refreshError="1"/>
      <sheetData sheetId="3" refreshError="1">
        <row r="42">
          <cell r="D42">
            <v>7.65</v>
          </cell>
        </row>
        <row r="45">
          <cell r="D45">
            <v>7.8090000000000011</v>
          </cell>
          <cell r="E45">
            <v>9.2460000000000004</v>
          </cell>
          <cell r="F45">
            <v>8.1579999999999995</v>
          </cell>
          <cell r="H45">
            <v>8.2340000000000018</v>
          </cell>
          <cell r="I45">
            <v>7.9870000000000001</v>
          </cell>
          <cell r="J45">
            <v>8.0749999999999993</v>
          </cell>
          <cell r="M45">
            <v>7.7399999999999993</v>
          </cell>
          <cell r="N45">
            <v>7.7169999999999996</v>
          </cell>
          <cell r="O45">
            <v>7.71</v>
          </cell>
          <cell r="R45">
            <v>7.952</v>
          </cell>
          <cell r="S45">
            <v>7.777000000000001</v>
          </cell>
          <cell r="T45">
            <v>7.907</v>
          </cell>
        </row>
      </sheetData>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Annual"/>
      <sheetName val="Category-wise(annual)"/>
      <sheetName val="Frequency of interruptions"/>
      <sheetName val="Category-wise(monthly)"/>
      <sheetName val="On-stream days"/>
      <sheetName val="PROD. PLAN_2007-08"/>
    </sheetNames>
    <sheetDataSet>
      <sheetData sheetId="0" refreshError="1"/>
      <sheetData sheetId="1" refreshError="1"/>
      <sheetData sheetId="2" refreshError="1"/>
      <sheetData sheetId="3" refreshError="1"/>
      <sheetData sheetId="4" refreshError="1"/>
      <sheetData sheetId="5" refreshError="1">
        <row r="6">
          <cell r="B6">
            <v>30</v>
          </cell>
          <cell r="C6">
            <v>18.04</v>
          </cell>
          <cell r="D6">
            <v>30</v>
          </cell>
          <cell r="F6">
            <v>30.64</v>
          </cell>
          <cell r="G6">
            <v>30.61</v>
          </cell>
          <cell r="H6">
            <v>30</v>
          </cell>
          <cell r="J6">
            <v>31</v>
          </cell>
          <cell r="K6">
            <v>30</v>
          </cell>
          <cell r="L6">
            <v>31</v>
          </cell>
          <cell r="N6">
            <v>23.39</v>
          </cell>
          <cell r="O6">
            <v>28.81</v>
          </cell>
          <cell r="P6">
            <v>31</v>
          </cell>
        </row>
        <row r="31">
          <cell r="B31">
            <v>29.92</v>
          </cell>
          <cell r="C31">
            <v>15.9</v>
          </cell>
          <cell r="D31">
            <v>30</v>
          </cell>
          <cell r="F31">
            <v>30.625</v>
          </cell>
          <cell r="G31">
            <v>30.47</v>
          </cell>
          <cell r="H31">
            <v>30</v>
          </cell>
          <cell r="J31">
            <v>30.92</v>
          </cell>
          <cell r="K31">
            <v>29.04</v>
          </cell>
          <cell r="L31">
            <v>30.96</v>
          </cell>
          <cell r="N31">
            <v>20.490000000000002</v>
          </cell>
          <cell r="O31">
            <v>28.83</v>
          </cell>
          <cell r="P31">
            <v>30.92</v>
          </cell>
        </row>
      </sheetData>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htha"/>
      <sheetName val="NG"/>
      <sheetName val="Balance"/>
      <sheetName val="A"/>
      <sheetName val="B"/>
      <sheetName val="D"/>
      <sheetName val="Steam_power work sheet"/>
      <sheetName val="STEAM BALANCE"/>
      <sheetName val="Elect_distr"/>
      <sheetName val="C"/>
    </sheetNames>
    <sheetDataSet>
      <sheetData sheetId="0"/>
      <sheetData sheetId="1"/>
      <sheetData sheetId="2"/>
      <sheetData sheetId="3">
        <row r="11">
          <cell r="O11">
            <v>549109</v>
          </cell>
        </row>
        <row r="28">
          <cell r="D28">
            <v>23483</v>
          </cell>
        </row>
        <row r="284">
          <cell r="C284">
            <v>45445</v>
          </cell>
          <cell r="E284">
            <v>43871</v>
          </cell>
          <cell r="F284">
            <v>47423</v>
          </cell>
          <cell r="G284">
            <v>47238</v>
          </cell>
          <cell r="H284">
            <v>45723</v>
          </cell>
          <cell r="I284">
            <v>47368</v>
          </cell>
          <cell r="J284">
            <v>45335</v>
          </cell>
          <cell r="K284">
            <v>47094</v>
          </cell>
          <cell r="L284">
            <v>31546</v>
          </cell>
          <cell r="M284">
            <v>43673</v>
          </cell>
          <cell r="N284">
            <v>46952</v>
          </cell>
        </row>
        <row r="307">
          <cell r="C307">
            <v>79019</v>
          </cell>
          <cell r="D307">
            <v>42990</v>
          </cell>
          <cell r="E307">
            <v>82770</v>
          </cell>
          <cell r="F307">
            <v>83407</v>
          </cell>
          <cell r="G307">
            <v>81909</v>
          </cell>
          <cell r="H307">
            <v>78797</v>
          </cell>
          <cell r="I307">
            <v>81387</v>
          </cell>
          <cell r="J307">
            <v>76663</v>
          </cell>
          <cell r="K307">
            <v>81468</v>
          </cell>
          <cell r="L307">
            <v>53348</v>
          </cell>
          <cell r="M307">
            <v>75967</v>
          </cell>
          <cell r="N307">
            <v>81954</v>
          </cell>
        </row>
      </sheetData>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M"/>
      <sheetName val="VP_1"/>
      <sheetName val="VP_2"/>
      <sheetName val="VP"/>
      <sheetName val="Cost rvw"/>
      <sheetName val="Unprod_energy"/>
      <sheetName val="Daily NG-Naphtha"/>
      <sheetName val="Cost rvw (R)"/>
    </sheetNames>
    <sheetDataSet>
      <sheetData sheetId="0" refreshError="1"/>
      <sheetData sheetId="1" refreshError="1"/>
      <sheetData sheetId="2" refreshError="1"/>
      <sheetData sheetId="3" refreshError="1">
        <row r="42">
          <cell r="D42">
            <v>7.5940000000000003</v>
          </cell>
        </row>
        <row r="45">
          <cell r="D45">
            <v>7.7190000000000003</v>
          </cell>
          <cell r="E45">
            <v>8.4340000000000011</v>
          </cell>
          <cell r="F45">
            <v>7.915</v>
          </cell>
          <cell r="I45">
            <v>7.9089999999999998</v>
          </cell>
          <cell r="J45">
            <v>7.7939999999999996</v>
          </cell>
          <cell r="K45">
            <v>7.8369999999999997</v>
          </cell>
          <cell r="M45">
            <v>7.7540000000000004</v>
          </cell>
          <cell r="N45">
            <v>7.7809999999999997</v>
          </cell>
          <cell r="O45">
            <v>7.7269999999999994</v>
          </cell>
          <cell r="R45">
            <v>8.0649999999999995</v>
          </cell>
          <cell r="S45">
            <v>7.7920000000000007</v>
          </cell>
          <cell r="T45">
            <v>7.7050000000000001</v>
          </cell>
        </row>
      </sheetData>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htha"/>
      <sheetName val="NG"/>
      <sheetName val="Balance"/>
      <sheetName val="A"/>
      <sheetName val="B"/>
      <sheetName val="D"/>
      <sheetName val="Steam_power"/>
      <sheetName val="E"/>
      <sheetName val="Elect_distr"/>
      <sheetName val="C"/>
      <sheetName val="Neem coated"/>
      <sheetName val="Sheet1"/>
    </sheetNames>
    <sheetDataSet>
      <sheetData sheetId="0"/>
      <sheetData sheetId="1"/>
      <sheetData sheetId="2"/>
      <sheetData sheetId="3">
        <row r="235">
          <cell r="O235">
            <v>17790352</v>
          </cell>
        </row>
        <row r="302">
          <cell r="C302">
            <v>51158</v>
          </cell>
          <cell r="D302">
            <v>52041</v>
          </cell>
          <cell r="E302">
            <v>49579</v>
          </cell>
          <cell r="F302">
            <v>51422</v>
          </cell>
          <cell r="G302">
            <v>52318</v>
          </cell>
          <cell r="H302">
            <v>31941</v>
          </cell>
          <cell r="I302">
            <v>54340</v>
          </cell>
          <cell r="J302">
            <v>54380</v>
          </cell>
          <cell r="K302">
            <v>55697</v>
          </cell>
          <cell r="L302">
            <v>55805</v>
          </cell>
          <cell r="M302">
            <v>47687</v>
          </cell>
        </row>
        <row r="328">
          <cell r="C328">
            <v>86831</v>
          </cell>
          <cell r="D328">
            <v>88780</v>
          </cell>
          <cell r="E328">
            <v>83476</v>
          </cell>
          <cell r="F328">
            <v>89980</v>
          </cell>
          <cell r="G328">
            <v>92461</v>
          </cell>
          <cell r="H328">
            <v>48967</v>
          </cell>
          <cell r="I328">
            <v>89617</v>
          </cell>
          <cell r="J328">
            <v>91842</v>
          </cell>
          <cell r="K328">
            <v>94491</v>
          </cell>
          <cell r="L328">
            <v>93530</v>
          </cell>
          <cell r="M328">
            <v>85228</v>
          </cell>
        </row>
      </sheetData>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M"/>
      <sheetName val="VP_1"/>
      <sheetName val="VP_2"/>
      <sheetName val="VP"/>
      <sheetName val="Cost rvw"/>
      <sheetName val="Unprod_energy"/>
      <sheetName val="Daily NG-Naphtha"/>
      <sheetName val="Overall"/>
      <sheetName val="Records"/>
      <sheetName val="Prod Plan"/>
      <sheetName val="Sheet1"/>
      <sheetName val="Performance at aglance"/>
      <sheetName val="Sheet2"/>
      <sheetName val="ListValues"/>
    </sheetNames>
    <sheetDataSet>
      <sheetData sheetId="0" refreshError="1"/>
      <sheetData sheetId="1" refreshError="1"/>
      <sheetData sheetId="2" refreshError="1"/>
      <sheetData sheetId="3" refreshError="1">
        <row r="45">
          <cell r="D45">
            <v>7.7989999999999995</v>
          </cell>
          <cell r="E45">
            <v>7.7989999999999995</v>
          </cell>
          <cell r="F45">
            <v>7.8029999999999999</v>
          </cell>
          <cell r="H45">
            <v>7.8860000000000001</v>
          </cell>
          <cell r="I45">
            <v>7.8230000000000004</v>
          </cell>
          <cell r="J45">
            <v>8.3789999999999996</v>
          </cell>
          <cell r="M45">
            <v>7.7309999999999999</v>
          </cell>
          <cell r="N45">
            <v>7.6709999999999994</v>
          </cell>
          <cell r="O45">
            <v>7.6689999999999996</v>
          </cell>
          <cell r="R45">
            <v>7.6839999999999993</v>
          </cell>
          <cell r="S45">
            <v>7.6989999999999998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Annual"/>
      <sheetName val="Category-wise(annual)"/>
      <sheetName val="Frequency of interruptions"/>
      <sheetName val="Category-wise_month"/>
      <sheetName val="Prod_plan"/>
      <sheetName val="On-stream days"/>
      <sheetName val="Sheet1"/>
      <sheetName val="Sheet2"/>
    </sheetNames>
    <sheetDataSet>
      <sheetData sheetId="0"/>
      <sheetData sheetId="1"/>
      <sheetData sheetId="2"/>
      <sheetData sheetId="3"/>
      <sheetData sheetId="4"/>
      <sheetData sheetId="5"/>
      <sheetData sheetId="6">
        <row r="5">
          <cell r="B5">
            <v>0.08</v>
          </cell>
        </row>
        <row r="6">
          <cell r="B6">
            <v>29.92</v>
          </cell>
          <cell r="C6">
            <v>18.920000000000002</v>
          </cell>
          <cell r="D6">
            <v>28.68</v>
          </cell>
          <cell r="F6">
            <v>31</v>
          </cell>
          <cell r="G6">
            <v>31</v>
          </cell>
          <cell r="H6">
            <v>30</v>
          </cell>
          <cell r="J6">
            <v>27.94</v>
          </cell>
          <cell r="K6">
            <v>30</v>
          </cell>
          <cell r="L6">
            <v>31</v>
          </cell>
          <cell r="N6">
            <v>31</v>
          </cell>
          <cell r="O6">
            <v>28</v>
          </cell>
          <cell r="P6">
            <v>15.6</v>
          </cell>
        </row>
        <row r="31">
          <cell r="B31">
            <v>30</v>
          </cell>
          <cell r="C31">
            <v>18.18</v>
          </cell>
          <cell r="D31">
            <v>28.68</v>
          </cell>
          <cell r="F31">
            <v>30.931999999999999</v>
          </cell>
          <cell r="G31">
            <v>31</v>
          </cell>
          <cell r="H31">
            <v>30</v>
          </cell>
          <cell r="J31">
            <v>26.85</v>
          </cell>
          <cell r="K31">
            <v>30</v>
          </cell>
          <cell r="L31">
            <v>30.6</v>
          </cell>
          <cell r="N31">
            <v>31</v>
          </cell>
          <cell r="O31">
            <v>28</v>
          </cell>
          <cell r="P31">
            <v>15.53</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htha"/>
      <sheetName val="NG"/>
      <sheetName val="Balance"/>
      <sheetName val="A"/>
      <sheetName val="B"/>
      <sheetName val="D"/>
      <sheetName val="Steam_power"/>
      <sheetName val="E"/>
      <sheetName val="Elect_distr"/>
      <sheetName val="C"/>
    </sheetNames>
    <sheetDataSet>
      <sheetData sheetId="0"/>
      <sheetData sheetId="1"/>
      <sheetData sheetId="2"/>
      <sheetData sheetId="3">
        <row r="3">
          <cell r="C3">
            <v>39904</v>
          </cell>
        </row>
        <row r="288">
          <cell r="C288">
            <v>46096</v>
          </cell>
          <cell r="D288">
            <v>28211</v>
          </cell>
          <cell r="E288">
            <v>43594</v>
          </cell>
          <cell r="F288">
            <v>48434</v>
          </cell>
          <cell r="G288">
            <v>48245</v>
          </cell>
          <cell r="H288">
            <v>46593</v>
          </cell>
          <cell r="I288">
            <v>42229</v>
          </cell>
          <cell r="J288">
            <v>45947</v>
          </cell>
          <cell r="K288">
            <v>47232</v>
          </cell>
          <cell r="L288">
            <v>47181</v>
          </cell>
          <cell r="M288">
            <v>42514</v>
          </cell>
          <cell r="N288">
            <v>23251</v>
          </cell>
        </row>
        <row r="313">
          <cell r="C313">
            <v>80030</v>
          </cell>
          <cell r="D313">
            <v>47657</v>
          </cell>
          <cell r="E313">
            <v>75483</v>
          </cell>
          <cell r="F313">
            <v>83824</v>
          </cell>
          <cell r="G313">
            <v>83193</v>
          </cell>
          <cell r="H313">
            <v>80668</v>
          </cell>
          <cell r="I313">
            <v>71427.000010000003</v>
          </cell>
          <cell r="J313">
            <v>79589</v>
          </cell>
          <cell r="K313">
            <v>81207</v>
          </cell>
          <cell r="L313">
            <v>81871</v>
          </cell>
          <cell r="M313">
            <v>73375</v>
          </cell>
          <cell r="N313">
            <v>40235</v>
          </cell>
        </row>
      </sheetData>
      <sheetData sheetId="4">
        <row r="114">
          <cell r="P114">
            <v>202.0226060718893</v>
          </cell>
        </row>
      </sheetData>
      <sheetData sheetId="5">
        <row r="8">
          <cell r="A8" t="str">
            <v>NG-APM</v>
          </cell>
        </row>
      </sheetData>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M"/>
      <sheetName val="VP_1"/>
      <sheetName val="VP_2"/>
      <sheetName val="VP"/>
      <sheetName val="Cost rvw"/>
      <sheetName val="Unprod_energy"/>
      <sheetName val="Daily NG-Naphtha"/>
      <sheetName val="Overall"/>
      <sheetName val="Records"/>
      <sheetName val="Prod Plan"/>
      <sheetName val="Sheet1"/>
      <sheetName val="Performance at aglance"/>
    </sheetNames>
    <sheetDataSet>
      <sheetData sheetId="0" refreshError="1"/>
      <sheetData sheetId="1" refreshError="1"/>
      <sheetData sheetId="2" refreshError="1"/>
      <sheetData sheetId="3" refreshError="1">
        <row r="42">
          <cell r="D42">
            <v>7.702</v>
          </cell>
        </row>
        <row r="45">
          <cell r="D45">
            <v>7.7839999999999998</v>
          </cell>
          <cell r="E45">
            <v>8.2040000000000006</v>
          </cell>
          <cell r="F45">
            <v>7.96</v>
          </cell>
          <cell r="H45">
            <v>7.8519999999999994</v>
          </cell>
          <cell r="I45">
            <v>7.8039999999999994</v>
          </cell>
          <cell r="J45">
            <v>7.8109999999999999</v>
          </cell>
          <cell r="M45">
            <v>8.109</v>
          </cell>
          <cell r="N45">
            <v>7.8159999999999998</v>
          </cell>
          <cell r="O45">
            <v>7.8479999999999999</v>
          </cell>
          <cell r="R45">
            <v>7.782</v>
          </cell>
          <cell r="S45">
            <v>7.8090000000000002</v>
          </cell>
          <cell r="T45">
            <v>7.9030000000000005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M"/>
      <sheetName val="VP_1"/>
      <sheetName val="VP_2"/>
      <sheetName val="VP"/>
      <sheetName val="Cost rvw"/>
      <sheetName val="Unprod_energy"/>
      <sheetName val="Daily NG-Naphtha"/>
      <sheetName val="Overall"/>
      <sheetName val="Records"/>
      <sheetName val="Prod Plan"/>
      <sheetName val="Sheet1"/>
      <sheetName val="Performance at aglance"/>
      <sheetName val="Sheet2"/>
    </sheetNames>
    <sheetDataSet>
      <sheetData sheetId="0"/>
      <sheetData sheetId="1">
        <row r="32">
          <cell r="W32">
            <v>175.97114547544231</v>
          </cell>
        </row>
      </sheetData>
      <sheetData sheetId="2"/>
      <sheetData sheetId="3">
        <row r="8">
          <cell r="W8">
            <v>8184.5770000000002</v>
          </cell>
        </row>
        <row r="45">
          <cell r="T45">
            <v>9.6029999999999998</v>
          </cell>
        </row>
      </sheetData>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htha"/>
      <sheetName val="NG"/>
      <sheetName val="Balance"/>
      <sheetName val="A"/>
      <sheetName val="B"/>
      <sheetName val="D"/>
      <sheetName val="Steam_power"/>
      <sheetName val="E"/>
      <sheetName val="Elect_distr"/>
      <sheetName val="C"/>
      <sheetName val="Neem coated"/>
      <sheetName val="Sheet1"/>
    </sheetNames>
    <sheetDataSet>
      <sheetData sheetId="0"/>
      <sheetData sheetId="1"/>
      <sheetData sheetId="2"/>
      <sheetData sheetId="3">
        <row r="3">
          <cell r="C3">
            <v>41730</v>
          </cell>
        </row>
        <row r="328">
          <cell r="N328">
            <v>5542</v>
          </cell>
        </row>
      </sheetData>
      <sheetData sheetId="4">
        <row r="5">
          <cell r="D5">
            <v>0</v>
          </cell>
        </row>
      </sheetData>
      <sheetData sheetId="5">
        <row r="22">
          <cell r="A22" t="str">
            <v>NG-APM</v>
          </cell>
        </row>
      </sheetData>
      <sheetData sheetId="6">
        <row r="72">
          <cell r="C72">
            <v>11018450</v>
          </cell>
        </row>
      </sheetData>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Annual"/>
      <sheetName val="Category-wise(annual)"/>
      <sheetName val="Frequency of interruptions"/>
      <sheetName val="Category-wise_month"/>
      <sheetName val="Prod_plan"/>
      <sheetName val="On-stream days"/>
      <sheetName val="Sheet1"/>
      <sheetName val="Sheet2"/>
      <sheetName val="Sheet3"/>
    </sheetNames>
    <sheetDataSet>
      <sheetData sheetId="0"/>
      <sheetData sheetId="1"/>
      <sheetData sheetId="2"/>
      <sheetData sheetId="3"/>
      <sheetData sheetId="4"/>
      <sheetData sheetId="5"/>
      <sheetData sheetId="6">
        <row r="6">
          <cell r="B6">
            <v>29.81</v>
          </cell>
          <cell r="C6">
            <v>11.649999999999999</v>
          </cell>
          <cell r="D6">
            <v>28.54</v>
          </cell>
          <cell r="F6">
            <v>30.79</v>
          </cell>
          <cell r="G6">
            <v>31</v>
          </cell>
          <cell r="H6">
            <v>30</v>
          </cell>
          <cell r="J6">
            <v>31</v>
          </cell>
          <cell r="K6">
            <v>30</v>
          </cell>
          <cell r="L6">
            <v>29.12</v>
          </cell>
          <cell r="N6">
            <v>31</v>
          </cell>
          <cell r="O6">
            <v>28</v>
          </cell>
          <cell r="P6">
            <v>31</v>
          </cell>
        </row>
        <row r="31">
          <cell r="B31">
            <v>29.68</v>
          </cell>
          <cell r="C31">
            <v>13.420000000000002</v>
          </cell>
          <cell r="D31">
            <v>28.01</v>
          </cell>
          <cell r="F31">
            <v>30.225000000000001</v>
          </cell>
          <cell r="G31">
            <v>30.9</v>
          </cell>
          <cell r="H31">
            <v>30</v>
          </cell>
          <cell r="J31">
            <v>31</v>
          </cell>
          <cell r="K31">
            <v>29.37</v>
          </cell>
          <cell r="L31">
            <v>29.21</v>
          </cell>
          <cell r="N31">
            <v>31</v>
          </cell>
          <cell r="O31">
            <v>27.53</v>
          </cell>
          <cell r="P31">
            <v>30.55</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5"/>
  <sheetViews>
    <sheetView topLeftCell="B1" zoomScaleNormal="100" workbookViewId="0">
      <selection activeCell="E12" sqref="E12"/>
    </sheetView>
  </sheetViews>
  <sheetFormatPr defaultColWidth="9.140625" defaultRowHeight="15"/>
  <cols>
    <col min="1" max="1" width="9.140625" style="690" customWidth="1"/>
    <col min="2" max="2" width="40.140625" style="690" customWidth="1"/>
    <col min="3" max="3" width="15.28515625" style="690" customWidth="1"/>
    <col min="4" max="4" width="12.7109375" style="690" customWidth="1"/>
    <col min="5" max="5" width="12" style="690" customWidth="1"/>
    <col min="6" max="6" width="10.7109375" style="690" customWidth="1"/>
    <col min="7" max="7" width="18.7109375" style="690" customWidth="1"/>
    <col min="8" max="8" width="9.140625" style="690"/>
    <col min="9" max="9" width="17.7109375" style="690" customWidth="1"/>
    <col min="10" max="16384" width="9.140625" style="690"/>
  </cols>
  <sheetData>
    <row r="1" spans="1:11" ht="22.5">
      <c r="A1" s="1321" t="s">
        <v>954</v>
      </c>
      <c r="B1" s="1321"/>
      <c r="C1" s="1321"/>
      <c r="D1" s="1321"/>
      <c r="E1" s="1321"/>
      <c r="F1" s="1321"/>
      <c r="G1" s="1321"/>
      <c r="I1" s="1188" t="s">
        <v>1020</v>
      </c>
      <c r="J1" s="1188"/>
      <c r="K1" s="167"/>
    </row>
    <row r="2" spans="1:11" ht="26.25" thickBot="1">
      <c r="A2" s="1322" t="s">
        <v>808</v>
      </c>
      <c r="B2" s="1323"/>
      <c r="C2" s="1323"/>
      <c r="D2" s="1323"/>
      <c r="E2" s="1323"/>
      <c r="F2" s="1323"/>
      <c r="G2" s="1323"/>
    </row>
    <row r="3" spans="1:11" ht="17.25">
      <c r="A3" s="663">
        <v>1</v>
      </c>
      <c r="B3" s="662" t="s">
        <v>679</v>
      </c>
      <c r="C3" s="1324"/>
      <c r="D3" s="1324"/>
      <c r="E3" s="1324"/>
      <c r="F3" s="1324"/>
      <c r="G3" s="1324"/>
      <c r="I3" s="394" t="s">
        <v>891</v>
      </c>
    </row>
    <row r="4" spans="1:11" ht="17.25">
      <c r="A4" s="663">
        <v>2</v>
      </c>
      <c r="B4" s="662" t="s">
        <v>784</v>
      </c>
      <c r="C4" s="1328"/>
      <c r="D4" s="1329"/>
      <c r="E4" s="1329"/>
      <c r="F4" s="1329"/>
      <c r="G4" s="1330"/>
      <c r="I4" s="395" t="s">
        <v>889</v>
      </c>
    </row>
    <row r="5" spans="1:11" ht="34.5">
      <c r="A5" s="663"/>
      <c r="B5" s="292" t="s">
        <v>845</v>
      </c>
      <c r="C5" s="1328"/>
      <c r="D5" s="1329"/>
      <c r="E5" s="1329"/>
      <c r="F5" s="1329"/>
      <c r="G5" s="1330"/>
      <c r="I5" s="396" t="s">
        <v>890</v>
      </c>
    </row>
    <row r="6" spans="1:11" ht="18" thickBot="1">
      <c r="A6" s="663">
        <v>3</v>
      </c>
      <c r="B6" s="662" t="s">
        <v>782</v>
      </c>
      <c r="C6" s="1325" t="s">
        <v>805</v>
      </c>
      <c r="D6" s="1326"/>
      <c r="E6" s="1327" t="s">
        <v>783</v>
      </c>
      <c r="F6" s="1327"/>
      <c r="G6" s="692" t="str">
        <f>C6</f>
        <v>UREA</v>
      </c>
      <c r="I6" s="397" t="s">
        <v>958</v>
      </c>
    </row>
    <row r="7" spans="1:11" ht="17.25">
      <c r="A7" s="663">
        <v>4</v>
      </c>
      <c r="B7" s="662" t="s">
        <v>785</v>
      </c>
      <c r="C7" s="691"/>
      <c r="D7" s="691"/>
      <c r="E7" s="691"/>
      <c r="F7" s="691"/>
      <c r="G7" s="691"/>
    </row>
    <row r="8" spans="1:11" ht="16.5">
      <c r="A8" s="1331" t="s">
        <v>322</v>
      </c>
      <c r="B8" s="293" t="s">
        <v>786</v>
      </c>
      <c r="C8" s="1324"/>
      <c r="D8" s="1324"/>
      <c r="E8" s="1324"/>
      <c r="F8" s="1324"/>
      <c r="G8" s="1324"/>
    </row>
    <row r="9" spans="1:11" ht="16.5">
      <c r="A9" s="1331"/>
      <c r="B9" s="293" t="s">
        <v>846</v>
      </c>
      <c r="C9" s="693"/>
      <c r="D9" s="693"/>
      <c r="E9" s="693"/>
      <c r="F9" s="693"/>
      <c r="G9" s="693"/>
    </row>
    <row r="10" spans="1:11" ht="16.5">
      <c r="A10" s="1331"/>
      <c r="B10" s="293" t="s">
        <v>787</v>
      </c>
      <c r="C10" s="1324"/>
      <c r="D10" s="1324"/>
      <c r="E10" s="1324"/>
      <c r="F10" s="1324"/>
      <c r="G10" s="1324"/>
    </row>
    <row r="11" spans="1:11" ht="16.5">
      <c r="A11" s="1331"/>
      <c r="B11" s="293" t="s">
        <v>848</v>
      </c>
      <c r="C11" s="1324"/>
      <c r="D11" s="1324"/>
      <c r="E11" s="694"/>
      <c r="F11" s="1324"/>
      <c r="G11" s="1324"/>
    </row>
    <row r="12" spans="1:11" ht="16.5">
      <c r="A12" s="1332"/>
      <c r="B12" s="293" t="s">
        <v>790</v>
      </c>
      <c r="C12" s="1324"/>
      <c r="D12" s="1324"/>
      <c r="E12" s="694" t="s">
        <v>791</v>
      </c>
      <c r="F12" s="1324"/>
      <c r="G12" s="1324"/>
    </row>
    <row r="13" spans="1:11" ht="16.5">
      <c r="A13" s="1333" t="s">
        <v>346</v>
      </c>
      <c r="B13" s="295" t="s">
        <v>792</v>
      </c>
      <c r="C13" s="1324"/>
      <c r="D13" s="1324"/>
      <c r="E13" s="1324"/>
      <c r="F13" s="1324"/>
      <c r="G13" s="1324"/>
    </row>
    <row r="14" spans="1:11" ht="16.5">
      <c r="A14" s="1334"/>
      <c r="B14" s="295" t="s">
        <v>793</v>
      </c>
      <c r="C14" s="1324"/>
      <c r="D14" s="1324"/>
      <c r="E14" s="1324"/>
      <c r="F14" s="1324"/>
      <c r="G14" s="1324"/>
    </row>
    <row r="15" spans="1:11" ht="16.5">
      <c r="A15" s="1334"/>
      <c r="B15" s="295" t="s">
        <v>847</v>
      </c>
      <c r="C15" s="1324"/>
      <c r="D15" s="1324"/>
      <c r="E15" s="694" t="s">
        <v>791</v>
      </c>
      <c r="F15" s="1324"/>
      <c r="G15" s="1324"/>
    </row>
    <row r="16" spans="1:11" ht="16.5">
      <c r="A16" s="1335"/>
      <c r="B16" s="295" t="s">
        <v>794</v>
      </c>
      <c r="C16" s="693"/>
      <c r="D16" s="694" t="s">
        <v>795</v>
      </c>
      <c r="E16" s="1324"/>
      <c r="F16" s="1324"/>
      <c r="G16" s="1324"/>
    </row>
    <row r="17" spans="1:7" ht="17.25">
      <c r="A17" s="664">
        <v>5</v>
      </c>
      <c r="B17" s="662" t="s">
        <v>796</v>
      </c>
      <c r="C17" s="1336"/>
      <c r="D17" s="1336"/>
      <c r="E17" s="1336"/>
      <c r="F17" s="1336"/>
      <c r="G17" s="1336"/>
    </row>
    <row r="18" spans="1:7" ht="16.5">
      <c r="A18" s="1337"/>
      <c r="B18" s="293" t="s">
        <v>797</v>
      </c>
      <c r="C18" s="1324"/>
      <c r="D18" s="1324"/>
      <c r="E18" s="1324"/>
      <c r="F18" s="1324"/>
      <c r="G18" s="1324"/>
    </row>
    <row r="19" spans="1:7" ht="16.5">
      <c r="A19" s="1337"/>
      <c r="B19" s="293" t="s">
        <v>793</v>
      </c>
      <c r="C19" s="1324"/>
      <c r="D19" s="1324"/>
      <c r="E19" s="1324"/>
      <c r="F19" s="1324"/>
      <c r="G19" s="1324"/>
    </row>
    <row r="20" spans="1:7" ht="16.5">
      <c r="A20" s="1337"/>
      <c r="B20" s="293" t="s">
        <v>798</v>
      </c>
      <c r="C20" s="1324"/>
      <c r="D20" s="1324"/>
      <c r="E20" s="1324"/>
      <c r="F20" s="1324"/>
      <c r="G20" s="1324"/>
    </row>
    <row r="21" spans="1:7" ht="16.5">
      <c r="A21" s="1337"/>
      <c r="B21" s="293" t="s">
        <v>786</v>
      </c>
      <c r="C21" s="1324"/>
      <c r="D21" s="1324"/>
      <c r="E21" s="694" t="s">
        <v>799</v>
      </c>
      <c r="F21" s="1324"/>
      <c r="G21" s="1324"/>
    </row>
    <row r="22" spans="1:7" ht="16.5">
      <c r="A22" s="1337"/>
      <c r="B22" s="293" t="s">
        <v>787</v>
      </c>
      <c r="C22" s="1324"/>
      <c r="D22" s="1324"/>
      <c r="E22" s="1324"/>
      <c r="F22" s="1324"/>
      <c r="G22" s="1324"/>
    </row>
    <row r="23" spans="1:7" ht="16.5">
      <c r="A23" s="1337"/>
      <c r="B23" s="293" t="s">
        <v>788</v>
      </c>
      <c r="C23" s="1324"/>
      <c r="D23" s="1324"/>
      <c r="E23" s="694" t="s">
        <v>789</v>
      </c>
      <c r="F23" s="1324"/>
      <c r="G23" s="1324"/>
    </row>
    <row r="24" spans="1:7" ht="16.5">
      <c r="A24" s="1337"/>
      <c r="B24" s="293" t="s">
        <v>790</v>
      </c>
      <c r="C24" s="1324"/>
      <c r="D24" s="1324"/>
      <c r="E24" s="694" t="s">
        <v>791</v>
      </c>
      <c r="F24" s="1324"/>
      <c r="G24" s="1324"/>
    </row>
    <row r="25" spans="1:7" ht="17.25">
      <c r="A25" s="663">
        <v>6</v>
      </c>
      <c r="B25" s="662" t="s">
        <v>800</v>
      </c>
      <c r="C25" s="691"/>
      <c r="D25" s="691"/>
      <c r="E25" s="691"/>
      <c r="F25" s="691"/>
      <c r="G25" s="691"/>
    </row>
    <row r="26" spans="1:7" ht="16.5">
      <c r="A26" s="1337"/>
      <c r="B26" s="294" t="s">
        <v>801</v>
      </c>
      <c r="C26" s="1324"/>
      <c r="D26" s="1324"/>
      <c r="E26" s="1324"/>
      <c r="F26" s="1324"/>
      <c r="G26" s="1324"/>
    </row>
    <row r="27" spans="1:7" ht="16.5">
      <c r="A27" s="1337"/>
      <c r="B27" s="294" t="s">
        <v>793</v>
      </c>
      <c r="C27" s="1324"/>
      <c r="D27" s="1324"/>
      <c r="E27" s="1336" t="s">
        <v>802</v>
      </c>
      <c r="F27" s="1336"/>
      <c r="G27" s="693"/>
    </row>
    <row r="28" spans="1:7" ht="16.5">
      <c r="A28" s="1337"/>
      <c r="B28" s="294" t="s">
        <v>803</v>
      </c>
      <c r="C28" s="1324"/>
      <c r="D28" s="1324"/>
      <c r="E28" s="1324"/>
      <c r="F28" s="1324"/>
      <c r="G28" s="1324"/>
    </row>
    <row r="29" spans="1:7" ht="16.5">
      <c r="A29" s="1337"/>
      <c r="B29" s="294" t="s">
        <v>790</v>
      </c>
      <c r="C29" s="1324"/>
      <c r="D29" s="1324"/>
      <c r="E29" s="695" t="s">
        <v>791</v>
      </c>
      <c r="F29" s="1324"/>
      <c r="G29" s="1324"/>
    </row>
    <row r="30" spans="1:7" ht="16.5">
      <c r="A30" s="1337"/>
      <c r="B30" s="294" t="s">
        <v>794</v>
      </c>
      <c r="C30" s="693"/>
      <c r="D30" s="695" t="s">
        <v>804</v>
      </c>
      <c r="E30" s="1338"/>
      <c r="F30" s="1324"/>
      <c r="G30" s="1324"/>
    </row>
    <row r="32" spans="1:7" ht="16.5">
      <c r="B32" s="696"/>
    </row>
    <row r="33" spans="2:2" ht="16.5">
      <c r="B33" s="696"/>
    </row>
    <row r="34" spans="2:2" ht="16.5">
      <c r="B34" s="696"/>
    </row>
    <row r="35" spans="2:2" ht="16.5">
      <c r="B35" s="696"/>
    </row>
  </sheetData>
  <sheetProtection password="CC60" sheet="1" objects="1" scenarios="1"/>
  <customSheetViews>
    <customSheetView guid="{5D90FF31-AD5C-4A69-A320-8978B095DFD4}" topLeftCell="A12">
      <selection activeCell="C18" sqref="C18:G18"/>
      <pageMargins left="0.7" right="0.7" top="0.75" bottom="0.75" header="0.3" footer="0.3"/>
      <pageSetup orientation="portrait" verticalDpi="0" r:id="rId1"/>
    </customSheetView>
  </customSheetViews>
  <mergeCells count="40">
    <mergeCell ref="E30:G30"/>
    <mergeCell ref="C24:D24"/>
    <mergeCell ref="F24:G24"/>
    <mergeCell ref="A26:A30"/>
    <mergeCell ref="C26:G26"/>
    <mergeCell ref="C27:D27"/>
    <mergeCell ref="E27:F27"/>
    <mergeCell ref="C28:G28"/>
    <mergeCell ref="C29:D29"/>
    <mergeCell ref="F29:G29"/>
    <mergeCell ref="C17:G17"/>
    <mergeCell ref="A18:A24"/>
    <mergeCell ref="C18:G18"/>
    <mergeCell ref="C19:G19"/>
    <mergeCell ref="C20:G20"/>
    <mergeCell ref="C21:D21"/>
    <mergeCell ref="F21:G21"/>
    <mergeCell ref="C22:G22"/>
    <mergeCell ref="C23:D23"/>
    <mergeCell ref="F23:G23"/>
    <mergeCell ref="A13:A16"/>
    <mergeCell ref="C13:G13"/>
    <mergeCell ref="C14:G14"/>
    <mergeCell ref="C15:D15"/>
    <mergeCell ref="F15:G15"/>
    <mergeCell ref="E16:G16"/>
    <mergeCell ref="A8:A12"/>
    <mergeCell ref="C8:G8"/>
    <mergeCell ref="C10:G10"/>
    <mergeCell ref="C11:D11"/>
    <mergeCell ref="F11:G11"/>
    <mergeCell ref="C12:D12"/>
    <mergeCell ref="F12:G12"/>
    <mergeCell ref="A1:G1"/>
    <mergeCell ref="A2:G2"/>
    <mergeCell ref="C3:G3"/>
    <mergeCell ref="C6:D6"/>
    <mergeCell ref="E6:F6"/>
    <mergeCell ref="C4:G4"/>
    <mergeCell ref="C5:G5"/>
  </mergeCells>
  <dataValidations count="2">
    <dataValidation type="list" allowBlank="1" showInputMessage="1" showErrorMessage="1" sqref="C983044 C65540 C131076 C196612 C262148 C327684 C393220 C458756 C524292 C589828 C655364 C720900 C786436 C851972 C917508">
      <formula1>"REFINERY, SMELTER, INTEGRATED"</formula1>
    </dataValidation>
    <dataValidation type="list" allowBlank="1" showInputMessage="1" showErrorMessage="1" sqref="C6:D6">
      <formula1>"UREA, AMMONIA"</formula1>
    </dataValidation>
  </dataValidations>
  <pageMargins left="0.7" right="0.7" top="0.75" bottom="0.75" header="0.3" footer="0.3"/>
  <pageSetup scale="76"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47"/>
  <sheetViews>
    <sheetView topLeftCell="A21" zoomScale="80" zoomScaleNormal="80" workbookViewId="0">
      <selection activeCell="O6" sqref="O6:R7"/>
    </sheetView>
  </sheetViews>
  <sheetFormatPr defaultRowHeight="15"/>
  <cols>
    <col min="1" max="1" width="9.140625" style="513"/>
    <col min="2" max="2" width="9.140625" style="516"/>
    <col min="3" max="3" width="11.85546875" style="516" customWidth="1"/>
    <col min="4" max="8" width="9.140625" style="513"/>
    <col min="9" max="9" width="11.28515625" style="513" customWidth="1"/>
    <col min="10" max="10" width="9.140625" style="513"/>
    <col min="11" max="11" width="9.140625" style="516"/>
    <col min="12" max="12" width="29" style="513" customWidth="1"/>
    <col min="13" max="13" width="11.5703125" style="513" customWidth="1"/>
    <col min="14" max="14" width="10.7109375" style="513" customWidth="1"/>
    <col min="15" max="15" width="11.140625" style="513" customWidth="1"/>
    <col min="16" max="16" width="10.5703125" style="513" customWidth="1"/>
    <col min="17" max="17" width="12" style="513" customWidth="1"/>
    <col min="18" max="18" width="14.28515625" style="513" customWidth="1"/>
    <col min="19" max="19" width="18.28515625" style="513" customWidth="1"/>
    <col min="20" max="16384" width="9.140625" style="513"/>
  </cols>
  <sheetData>
    <row r="1" spans="1:19">
      <c r="A1" s="64"/>
      <c r="B1" s="187"/>
      <c r="C1" s="187"/>
      <c r="D1" s="64"/>
      <c r="E1" s="64"/>
      <c r="F1" s="64"/>
      <c r="G1" s="64"/>
      <c r="H1" s="64"/>
      <c r="I1" s="64"/>
      <c r="J1" s="64"/>
      <c r="K1" s="187"/>
      <c r="L1" s="64"/>
      <c r="M1" s="64"/>
    </row>
    <row r="2" spans="1:19" ht="16.5">
      <c r="A2" s="64"/>
      <c r="B2" s="187"/>
      <c r="C2" s="187"/>
      <c r="D2" s="64"/>
      <c r="E2" s="64"/>
      <c r="F2" s="64"/>
      <c r="G2" s="64"/>
      <c r="H2" s="64"/>
      <c r="I2" s="64"/>
      <c r="J2" s="64"/>
      <c r="K2" s="922"/>
      <c r="L2" s="202"/>
      <c r="M2" s="64"/>
      <c r="N2" s="517"/>
      <c r="P2" s="517"/>
      <c r="R2" s="517"/>
      <c r="S2" s="521"/>
    </row>
    <row r="3" spans="1:19" ht="33.75" customHeight="1">
      <c r="A3" s="64"/>
      <c r="B3" s="923"/>
      <c r="C3" s="1423" t="s">
        <v>188</v>
      </c>
      <c r="D3" s="1423"/>
      <c r="E3" s="1423"/>
      <c r="F3" s="1423"/>
      <c r="G3" s="1423"/>
      <c r="H3" s="1423"/>
      <c r="I3" s="1423"/>
      <c r="J3" s="1423"/>
      <c r="K3" s="924"/>
      <c r="L3" s="64"/>
      <c r="M3" s="202"/>
      <c r="N3" s="540"/>
      <c r="O3" s="540"/>
      <c r="P3" s="540"/>
      <c r="Q3" s="540"/>
      <c r="R3" s="540"/>
      <c r="S3" s="517"/>
    </row>
    <row r="4" spans="1:19" ht="19.5" thickBot="1">
      <c r="A4" s="64"/>
      <c r="B4" s="923"/>
      <c r="C4" s="925"/>
      <c r="D4" s="926"/>
      <c r="E4" s="926"/>
      <c r="F4" s="926"/>
      <c r="G4" s="926"/>
      <c r="H4" s="926"/>
      <c r="I4" s="926"/>
      <c r="J4" s="64"/>
      <c r="K4" s="924"/>
      <c r="L4" s="927"/>
      <c r="M4" s="202"/>
      <c r="N4" s="540"/>
      <c r="O4" s="540"/>
      <c r="P4" s="540"/>
      <c r="Q4" s="540"/>
      <c r="R4" s="540"/>
      <c r="S4" s="518"/>
    </row>
    <row r="5" spans="1:19" ht="19.5" thickBot="1">
      <c r="A5" s="64"/>
      <c r="B5" s="887">
        <v>1</v>
      </c>
      <c r="C5" s="888" t="s">
        <v>192</v>
      </c>
      <c r="D5" s="889"/>
      <c r="E5" s="889"/>
      <c r="F5" s="889"/>
      <c r="G5" s="889"/>
      <c r="H5" s="889"/>
      <c r="I5" s="890"/>
      <c r="J5" s="64"/>
      <c r="K5" s="928"/>
      <c r="L5" s="929" t="s">
        <v>203</v>
      </c>
      <c r="M5" s="930"/>
      <c r="N5" s="542"/>
      <c r="O5" s="542"/>
      <c r="P5" s="542"/>
      <c r="Q5" s="542"/>
      <c r="R5" s="542"/>
      <c r="S5" s="543"/>
    </row>
    <row r="6" spans="1:19" s="526" customFormat="1" ht="49.5" customHeight="1">
      <c r="A6" s="171"/>
      <c r="B6" s="225">
        <v>1.1000000000000001</v>
      </c>
      <c r="C6" s="1405" t="s">
        <v>220</v>
      </c>
      <c r="D6" s="1405"/>
      <c r="E6" s="1405"/>
      <c r="F6" s="1405"/>
      <c r="G6" s="1405"/>
      <c r="H6" s="1405"/>
      <c r="I6" s="1406"/>
      <c r="J6" s="171"/>
      <c r="K6" s="931" t="s">
        <v>0</v>
      </c>
      <c r="L6" s="226" t="s">
        <v>36</v>
      </c>
      <c r="M6" s="226" t="s">
        <v>37</v>
      </c>
      <c r="N6" s="227" t="s">
        <v>931</v>
      </c>
      <c r="O6" s="1377" t="s">
        <v>932</v>
      </c>
      <c r="P6" s="1378"/>
      <c r="Q6" s="1278" t="s">
        <v>1030</v>
      </c>
      <c r="R6" s="1279" t="s">
        <v>1031</v>
      </c>
      <c r="S6" s="937" t="s">
        <v>100</v>
      </c>
    </row>
    <row r="7" spans="1:19" ht="15.75">
      <c r="A7" s="64"/>
      <c r="B7" s="210"/>
      <c r="C7" s="96"/>
      <c r="D7" s="182"/>
      <c r="E7" s="182"/>
      <c r="F7" s="182"/>
      <c r="G7" s="182"/>
      <c r="H7" s="182"/>
      <c r="I7" s="195"/>
      <c r="J7" s="65"/>
      <c r="K7" s="932"/>
      <c r="L7" s="933"/>
      <c r="M7" s="933"/>
      <c r="N7" s="227" t="s">
        <v>43</v>
      </c>
      <c r="O7" s="227" t="s">
        <v>886</v>
      </c>
      <c r="P7" s="227" t="s">
        <v>887</v>
      </c>
      <c r="Q7" s="1310" t="s">
        <v>1025</v>
      </c>
      <c r="R7" s="1311" t="s">
        <v>1026</v>
      </c>
      <c r="S7" s="921"/>
    </row>
    <row r="8" spans="1:19" ht="15.75">
      <c r="A8" s="64"/>
      <c r="B8" s="210" t="s">
        <v>27</v>
      </c>
      <c r="C8" s="202" t="s">
        <v>221</v>
      </c>
      <c r="D8" s="934"/>
      <c r="E8" s="934"/>
      <c r="F8" s="934"/>
      <c r="G8" s="934"/>
      <c r="H8" s="934"/>
      <c r="I8" s="195"/>
      <c r="J8" s="65"/>
      <c r="K8" s="488"/>
      <c r="L8" s="106"/>
      <c r="M8" s="106"/>
      <c r="N8" s="106"/>
      <c r="O8" s="106"/>
      <c r="P8" s="106"/>
      <c r="Q8" s="106"/>
      <c r="R8" s="110"/>
      <c r="S8" s="228"/>
    </row>
    <row r="9" spans="1:19" ht="15.75">
      <c r="A9" s="64"/>
      <c r="B9" s="225" t="s">
        <v>205</v>
      </c>
      <c r="C9" s="202" t="s">
        <v>206</v>
      </c>
      <c r="D9" s="934"/>
      <c r="E9" s="934"/>
      <c r="F9" s="934"/>
      <c r="G9" s="934"/>
      <c r="H9" s="934"/>
      <c r="I9" s="195"/>
      <c r="J9" s="65"/>
      <c r="K9" s="935">
        <v>1</v>
      </c>
      <c r="L9" s="229" t="s">
        <v>148</v>
      </c>
      <c r="M9" s="106" t="s">
        <v>10</v>
      </c>
      <c r="N9" s="105">
        <f>'Prod_energy_best monthly'!E20</f>
        <v>0</v>
      </c>
      <c r="O9" s="105">
        <f>'Prod_energy_best monthly'!F20</f>
        <v>0</v>
      </c>
      <c r="P9" s="105">
        <f>'Prod_energy_best monthly'!G20</f>
        <v>0</v>
      </c>
      <c r="Q9" s="105">
        <v>0</v>
      </c>
      <c r="R9" s="105">
        <f>'Prod_energy_best monthly'!I20</f>
        <v>0</v>
      </c>
      <c r="S9" s="228"/>
    </row>
    <row r="10" spans="1:19" ht="15.75">
      <c r="A10" s="64"/>
      <c r="B10" s="225" t="s">
        <v>207</v>
      </c>
      <c r="C10" s="908" t="s">
        <v>208</v>
      </c>
      <c r="D10" s="182"/>
      <c r="E10" s="182"/>
      <c r="F10" s="182"/>
      <c r="G10" s="182"/>
      <c r="H10" s="934"/>
      <c r="I10" s="195"/>
      <c r="J10" s="65"/>
      <c r="K10" s="935"/>
      <c r="L10" s="229"/>
      <c r="M10" s="106"/>
      <c r="N10" s="531"/>
      <c r="O10" s="531"/>
      <c r="P10" s="531"/>
      <c r="Q10" s="531"/>
      <c r="R10" s="531"/>
      <c r="S10" s="523"/>
    </row>
    <row r="11" spans="1:19" ht="15.75">
      <c r="A11" s="64"/>
      <c r="B11" s="225" t="s">
        <v>86</v>
      </c>
      <c r="C11" s="908" t="s">
        <v>204</v>
      </c>
      <c r="D11" s="182"/>
      <c r="E11" s="182"/>
      <c r="F11" s="182"/>
      <c r="G11" s="182"/>
      <c r="H11" s="182"/>
      <c r="I11" s="195"/>
      <c r="J11" s="64"/>
      <c r="K11" s="935">
        <v>2</v>
      </c>
      <c r="L11" s="229" t="s">
        <v>196</v>
      </c>
      <c r="M11" s="106" t="s">
        <v>191</v>
      </c>
      <c r="N11" s="509"/>
      <c r="O11" s="509"/>
      <c r="P11" s="509"/>
      <c r="Q11" s="509"/>
      <c r="R11" s="528"/>
      <c r="S11" s="523"/>
    </row>
    <row r="12" spans="1:19" ht="15.75">
      <c r="A12" s="64"/>
      <c r="B12" s="210"/>
      <c r="C12" s="96"/>
      <c r="D12" s="182"/>
      <c r="E12" s="182"/>
      <c r="F12" s="182"/>
      <c r="G12" s="182"/>
      <c r="H12" s="934"/>
      <c r="I12" s="195"/>
      <c r="J12" s="64"/>
      <c r="K12" s="488">
        <v>2.1</v>
      </c>
      <c r="L12" s="106" t="s">
        <v>158</v>
      </c>
      <c r="M12" s="106" t="s">
        <v>180</v>
      </c>
      <c r="N12" s="522"/>
      <c r="O12" s="522"/>
      <c r="P12" s="522"/>
      <c r="Q12" s="522"/>
      <c r="R12" s="546"/>
      <c r="S12" s="523"/>
    </row>
    <row r="13" spans="1:19" ht="15.75">
      <c r="A13" s="64"/>
      <c r="B13" s="225">
        <v>1.2</v>
      </c>
      <c r="C13" s="672" t="s">
        <v>209</v>
      </c>
      <c r="D13" s="182"/>
      <c r="E13" s="182"/>
      <c r="F13" s="182"/>
      <c r="G13" s="182"/>
      <c r="H13" s="182"/>
      <c r="I13" s="936"/>
      <c r="J13" s="64"/>
      <c r="K13" s="488">
        <v>2.2000000000000002</v>
      </c>
      <c r="L13" s="106" t="s">
        <v>197</v>
      </c>
      <c r="M13" s="106" t="s">
        <v>198</v>
      </c>
      <c r="N13" s="522"/>
      <c r="O13" s="522"/>
      <c r="P13" s="522"/>
      <c r="Q13" s="522"/>
      <c r="R13" s="546"/>
      <c r="S13" s="523"/>
    </row>
    <row r="14" spans="1:19" ht="15.75">
      <c r="A14" s="64"/>
      <c r="B14" s="225"/>
      <c r="C14" s="908" t="s">
        <v>210</v>
      </c>
      <c r="D14" s="182"/>
      <c r="E14" s="182"/>
      <c r="F14" s="182"/>
      <c r="G14" s="182"/>
      <c r="H14" s="182"/>
      <c r="I14" s="936"/>
      <c r="J14" s="64"/>
      <c r="K14" s="488"/>
      <c r="L14" s="106"/>
      <c r="M14" s="106"/>
      <c r="N14" s="522"/>
      <c r="O14" s="522"/>
      <c r="P14" s="522"/>
      <c r="Q14" s="522"/>
      <c r="R14" s="546"/>
      <c r="S14" s="523"/>
    </row>
    <row r="15" spans="1:19" ht="15.75">
      <c r="A15" s="64"/>
      <c r="B15" s="210"/>
      <c r="C15" s="908" t="s">
        <v>211</v>
      </c>
      <c r="D15" s="182"/>
      <c r="E15" s="202"/>
      <c r="F15" s="182"/>
      <c r="G15" s="182"/>
      <c r="H15" s="202"/>
      <c r="I15" s="195"/>
      <c r="J15" s="64"/>
      <c r="K15" s="935">
        <v>3</v>
      </c>
      <c r="L15" s="229" t="s">
        <v>193</v>
      </c>
      <c r="M15" s="106"/>
      <c r="N15" s="509"/>
      <c r="O15" s="509"/>
      <c r="P15" s="509"/>
      <c r="Q15" s="509"/>
      <c r="R15" s="528"/>
      <c r="S15" s="523"/>
    </row>
    <row r="16" spans="1:19" ht="18.75">
      <c r="A16" s="64"/>
      <c r="B16" s="225"/>
      <c r="C16" s="198"/>
      <c r="D16" s="182"/>
      <c r="E16" s="182"/>
      <c r="F16" s="910"/>
      <c r="G16" s="910"/>
      <c r="H16" s="910"/>
      <c r="I16" s="911"/>
      <c r="J16" s="64"/>
      <c r="K16" s="488">
        <v>3.1</v>
      </c>
      <c r="L16" s="106" t="s">
        <v>158</v>
      </c>
      <c r="M16" s="106" t="s">
        <v>180</v>
      </c>
      <c r="N16" s="522"/>
      <c r="O16" s="522"/>
      <c r="P16" s="522"/>
      <c r="Q16" s="522"/>
      <c r="R16" s="522"/>
      <c r="S16" s="523"/>
    </row>
    <row r="17" spans="1:19" ht="47.25">
      <c r="A17" s="64"/>
      <c r="B17" s="225"/>
      <c r="C17" s="198"/>
      <c r="D17" s="894"/>
      <c r="E17" s="894"/>
      <c r="F17" s="894"/>
      <c r="G17" s="894"/>
      <c r="H17" s="894"/>
      <c r="I17" s="895"/>
      <c r="J17" s="64"/>
      <c r="K17" s="488">
        <v>3.2</v>
      </c>
      <c r="L17" s="106" t="s">
        <v>194</v>
      </c>
      <c r="M17" s="106"/>
      <c r="N17" s="522"/>
      <c r="O17" s="522"/>
      <c r="P17" s="522"/>
      <c r="Q17" s="522"/>
      <c r="R17" s="546"/>
      <c r="S17" s="523"/>
    </row>
    <row r="18" spans="1:19" s="520" customFormat="1" ht="31.5">
      <c r="A18" s="196"/>
      <c r="B18" s="909">
        <v>2</v>
      </c>
      <c r="C18" s="198" t="s">
        <v>189</v>
      </c>
      <c r="D18" s="230"/>
      <c r="E18" s="230"/>
      <c r="F18" s="230"/>
      <c r="G18" s="230"/>
      <c r="H18" s="230"/>
      <c r="I18" s="231"/>
      <c r="J18" s="196"/>
      <c r="K18" s="232">
        <v>3.3</v>
      </c>
      <c r="L18" s="233" t="s">
        <v>195</v>
      </c>
      <c r="M18" s="233"/>
      <c r="N18" s="522"/>
      <c r="O18" s="522"/>
      <c r="P18" s="522"/>
      <c r="Q18" s="522"/>
      <c r="R18" s="546"/>
      <c r="S18" s="529"/>
    </row>
    <row r="19" spans="1:19" ht="15.75">
      <c r="A19" s="64"/>
      <c r="B19" s="225">
        <v>2.1</v>
      </c>
      <c r="C19" s="202" t="s">
        <v>212</v>
      </c>
      <c r="D19" s="894"/>
      <c r="E19" s="894"/>
      <c r="F19" s="894"/>
      <c r="G19" s="894"/>
      <c r="H19" s="894"/>
      <c r="I19" s="895"/>
      <c r="J19" s="64"/>
      <c r="K19" s="210"/>
      <c r="L19" s="182"/>
      <c r="M19" s="182"/>
      <c r="N19" s="509"/>
      <c r="O19" s="509"/>
      <c r="P19" s="509"/>
      <c r="Q19" s="509"/>
      <c r="R19" s="509"/>
      <c r="S19" s="523"/>
    </row>
    <row r="20" spans="1:19" ht="15.75">
      <c r="A20" s="64"/>
      <c r="B20" s="225"/>
      <c r="C20" s="672" t="s">
        <v>213</v>
      </c>
      <c r="D20" s="894"/>
      <c r="E20" s="894"/>
      <c r="F20" s="894"/>
      <c r="G20" s="894"/>
      <c r="H20" s="894"/>
      <c r="I20" s="895"/>
      <c r="J20" s="64"/>
      <c r="K20" s="935">
        <v>4</v>
      </c>
      <c r="L20" s="229" t="s">
        <v>181</v>
      </c>
      <c r="M20" s="106"/>
      <c r="N20" s="509"/>
      <c r="O20" s="509"/>
      <c r="P20" s="509"/>
      <c r="Q20" s="509"/>
      <c r="R20" s="509"/>
      <c r="S20" s="523"/>
    </row>
    <row r="21" spans="1:19" ht="18.75">
      <c r="A21" s="64"/>
      <c r="B21" s="225"/>
      <c r="C21" s="672" t="s">
        <v>214</v>
      </c>
      <c r="D21" s="894"/>
      <c r="E21" s="894"/>
      <c r="F21" s="894"/>
      <c r="G21" s="894"/>
      <c r="H21" s="894"/>
      <c r="I21" s="895"/>
      <c r="J21" s="64"/>
      <c r="K21" s="488">
        <v>4.0999999999999996</v>
      </c>
      <c r="L21" s="106" t="s">
        <v>183</v>
      </c>
      <c r="M21" s="106" t="s">
        <v>10</v>
      </c>
      <c r="N21" s="522"/>
      <c r="O21" s="522"/>
      <c r="P21" s="522"/>
      <c r="Q21" s="522"/>
      <c r="R21" s="546"/>
      <c r="S21" s="523"/>
    </row>
    <row r="22" spans="1:19" ht="18.75">
      <c r="A22" s="64"/>
      <c r="B22" s="225"/>
      <c r="C22" s="672" t="s">
        <v>215</v>
      </c>
      <c r="D22" s="894"/>
      <c r="E22" s="894"/>
      <c r="F22" s="894"/>
      <c r="G22" s="894"/>
      <c r="H22" s="894"/>
      <c r="I22" s="895"/>
      <c r="J22" s="64"/>
      <c r="K22" s="488">
        <v>4.2</v>
      </c>
      <c r="L22" s="106" t="s">
        <v>182</v>
      </c>
      <c r="M22" s="106" t="s">
        <v>10</v>
      </c>
      <c r="N22" s="522"/>
      <c r="O22" s="522"/>
      <c r="P22" s="522"/>
      <c r="Q22" s="522"/>
      <c r="R22" s="546"/>
      <c r="S22" s="523"/>
    </row>
    <row r="23" spans="1:19" ht="15.75">
      <c r="A23" s="64"/>
      <c r="B23" s="210"/>
      <c r="C23" s="96"/>
      <c r="D23" s="894"/>
      <c r="E23" s="894"/>
      <c r="F23" s="894"/>
      <c r="G23" s="894"/>
      <c r="H23" s="894"/>
      <c r="I23" s="895"/>
      <c r="J23" s="64"/>
      <c r="K23" s="488"/>
      <c r="L23" s="182"/>
      <c r="M23" s="106"/>
      <c r="N23" s="509"/>
      <c r="O23" s="509"/>
      <c r="P23" s="509"/>
      <c r="Q23" s="509"/>
      <c r="R23" s="509"/>
      <c r="S23" s="523"/>
    </row>
    <row r="24" spans="1:19" s="520" customFormat="1" ht="66" customHeight="1">
      <c r="A24" s="196"/>
      <c r="B24" s="225">
        <v>2.2000000000000002</v>
      </c>
      <c r="C24" s="1405" t="s">
        <v>216</v>
      </c>
      <c r="D24" s="1405"/>
      <c r="E24" s="1405"/>
      <c r="F24" s="1405"/>
      <c r="G24" s="1405"/>
      <c r="H24" s="1405"/>
      <c r="I24" s="1406"/>
      <c r="J24" s="196"/>
      <c r="K24" s="235">
        <v>5</v>
      </c>
      <c r="L24" s="233" t="s">
        <v>971</v>
      </c>
      <c r="M24" s="233"/>
      <c r="N24" s="236"/>
      <c r="O24" s="237"/>
      <c r="P24" s="237"/>
      <c r="Q24" s="238"/>
      <c r="R24" s="238"/>
      <c r="S24" s="234"/>
    </row>
    <row r="25" spans="1:19" s="520" customFormat="1" ht="39" customHeight="1">
      <c r="A25" s="196"/>
      <c r="B25" s="239"/>
      <c r="C25" s="236"/>
      <c r="D25" s="230"/>
      <c r="E25" s="230"/>
      <c r="F25" s="230"/>
      <c r="G25" s="230"/>
      <c r="H25" s="230"/>
      <c r="I25" s="231"/>
      <c r="J25" s="196"/>
      <c r="K25" s="232">
        <v>5.0999999999999996</v>
      </c>
      <c r="L25" s="233" t="s">
        <v>200</v>
      </c>
      <c r="M25" s="233" t="s">
        <v>40</v>
      </c>
      <c r="N25" s="240" t="e">
        <f>(0.443*N21)/N9</f>
        <v>#DIV/0!</v>
      </c>
      <c r="O25" s="240" t="e">
        <f>(0.443*O21)/O9</f>
        <v>#DIV/0!</v>
      </c>
      <c r="P25" s="240" t="e">
        <f>(0.443*P21)/P9</f>
        <v>#DIV/0!</v>
      </c>
      <c r="Q25" s="241" t="e">
        <f>(0.443*Q21)/Q9</f>
        <v>#DIV/0!</v>
      </c>
      <c r="R25" s="240" t="e">
        <f>(0.443*R21)/R9</f>
        <v>#DIV/0!</v>
      </c>
      <c r="S25" s="234"/>
    </row>
    <row r="26" spans="1:19" s="520" customFormat="1" ht="36" customHeight="1">
      <c r="A26" s="196"/>
      <c r="B26" s="242">
        <v>3</v>
      </c>
      <c r="C26" s="243" t="s">
        <v>190</v>
      </c>
      <c r="D26" s="230"/>
      <c r="E26" s="230"/>
      <c r="F26" s="230"/>
      <c r="G26" s="230"/>
      <c r="H26" s="202"/>
      <c r="I26" s="231"/>
      <c r="J26" s="196"/>
      <c r="K26" s="232">
        <v>5.2</v>
      </c>
      <c r="L26" s="233" t="s">
        <v>201</v>
      </c>
      <c r="M26" s="233" t="s">
        <v>40</v>
      </c>
      <c r="N26" s="240">
        <f>IF(N22&gt;0,(185+0.625*N22)/N9,0)</f>
        <v>0</v>
      </c>
      <c r="O26" s="240">
        <f t="shared" ref="O26:R26" si="0">IF(O22&gt;0,(185+0.625*O22)/O9,0)</f>
        <v>0</v>
      </c>
      <c r="P26" s="240">
        <f t="shared" si="0"/>
        <v>0</v>
      </c>
      <c r="Q26" s="240">
        <f t="shared" si="0"/>
        <v>0</v>
      </c>
      <c r="R26" s="240">
        <f t="shared" si="0"/>
        <v>0</v>
      </c>
      <c r="S26" s="234"/>
    </row>
    <row r="27" spans="1:19" s="520" customFormat="1" ht="47.25">
      <c r="A27" s="196"/>
      <c r="B27" s="239">
        <v>3.1</v>
      </c>
      <c r="C27" s="1409" t="s">
        <v>217</v>
      </c>
      <c r="D27" s="1409"/>
      <c r="E27" s="1409"/>
      <c r="F27" s="1409"/>
      <c r="G27" s="1409"/>
      <c r="H27" s="1409"/>
      <c r="I27" s="1410"/>
      <c r="J27" s="196"/>
      <c r="K27" s="232">
        <v>5.3</v>
      </c>
      <c r="L27" s="244" t="s">
        <v>199</v>
      </c>
      <c r="M27" s="233" t="s">
        <v>40</v>
      </c>
      <c r="N27" s="240" t="e">
        <f>N25+N26</f>
        <v>#DIV/0!</v>
      </c>
      <c r="O27" s="240" t="e">
        <f>O25+O26</f>
        <v>#DIV/0!</v>
      </c>
      <c r="P27" s="240" t="e">
        <f>P25+P26</f>
        <v>#DIV/0!</v>
      </c>
      <c r="Q27" s="240" t="e">
        <f>Q25+Q26</f>
        <v>#DIV/0!</v>
      </c>
      <c r="R27" s="240" t="e">
        <f>R25+R26</f>
        <v>#DIV/0!</v>
      </c>
      <c r="S27" s="234"/>
    </row>
    <row r="28" spans="1:19" s="520" customFormat="1" ht="44.25" customHeight="1">
      <c r="A28" s="196"/>
      <c r="B28" s="225">
        <v>3.2</v>
      </c>
      <c r="C28" s="1405" t="s">
        <v>218</v>
      </c>
      <c r="D28" s="1405"/>
      <c r="E28" s="1405"/>
      <c r="F28" s="1405"/>
      <c r="G28" s="1405"/>
      <c r="H28" s="1405"/>
      <c r="I28" s="1406"/>
      <c r="J28" s="196"/>
      <c r="K28" s="248">
        <v>6</v>
      </c>
      <c r="L28" s="259" t="s">
        <v>184</v>
      </c>
      <c r="M28" s="259" t="s">
        <v>40</v>
      </c>
      <c r="N28" s="940"/>
      <c r="O28" s="940"/>
      <c r="P28" s="940"/>
      <c r="Q28" s="940"/>
      <c r="R28" s="941"/>
      <c r="S28" s="247"/>
    </row>
    <row r="29" spans="1:19" s="520" customFormat="1" ht="28.5" customHeight="1">
      <c r="A29" s="196"/>
      <c r="B29" s="225"/>
      <c r="C29" s="1421" t="s">
        <v>186</v>
      </c>
      <c r="D29" s="1421"/>
      <c r="E29" s="1421"/>
      <c r="F29" s="1421"/>
      <c r="G29" s="1421"/>
      <c r="H29" s="1421"/>
      <c r="I29" s="1422"/>
      <c r="J29" s="196"/>
      <c r="K29" s="645"/>
      <c r="L29" s="645"/>
      <c r="M29" s="645"/>
      <c r="N29" s="645"/>
      <c r="O29" s="645"/>
      <c r="P29" s="645"/>
      <c r="Q29" s="645"/>
      <c r="R29" s="645"/>
      <c r="S29" s="645"/>
    </row>
    <row r="30" spans="1:19" s="520" customFormat="1" ht="54" customHeight="1">
      <c r="A30" s="196"/>
      <c r="B30" s="225"/>
      <c r="C30" s="672" t="s">
        <v>187</v>
      </c>
      <c r="D30" s="230"/>
      <c r="E30" s="230"/>
      <c r="F30" s="230"/>
      <c r="G30" s="230"/>
      <c r="H30" s="230"/>
      <c r="I30" s="231"/>
      <c r="J30" s="196"/>
      <c r="K30" s="248">
        <v>7</v>
      </c>
      <c r="L30" s="233" t="s">
        <v>850</v>
      </c>
      <c r="M30" s="233" t="s">
        <v>40</v>
      </c>
      <c r="N30" s="249" t="e">
        <f>N27-N28</f>
        <v>#DIV/0!</v>
      </c>
      <c r="O30" s="249" t="e">
        <f>O27-O28</f>
        <v>#DIV/0!</v>
      </c>
      <c r="P30" s="249" t="e">
        <f>P27-P28</f>
        <v>#DIV/0!</v>
      </c>
      <c r="Q30" s="249" t="e">
        <f>Q27-Q28</f>
        <v>#DIV/0!</v>
      </c>
      <c r="R30" s="249" t="e">
        <f>R27-R28</f>
        <v>#DIV/0!</v>
      </c>
      <c r="S30" s="247"/>
    </row>
    <row r="31" spans="1:19" s="520" customFormat="1" ht="54" customHeight="1">
      <c r="A31" s="196"/>
      <c r="B31" s="239"/>
      <c r="C31" s="236" t="s">
        <v>219</v>
      </c>
      <c r="D31" s="236"/>
      <c r="E31" s="250"/>
      <c r="F31" s="236"/>
      <c r="G31" s="250"/>
      <c r="H31" s="250"/>
      <c r="I31" s="251"/>
      <c r="J31" s="196"/>
      <c r="K31" s="252">
        <v>8</v>
      </c>
      <c r="L31" s="233" t="s">
        <v>202</v>
      </c>
      <c r="M31" s="233" t="s">
        <v>40</v>
      </c>
      <c r="N31" s="246"/>
      <c r="O31" s="245"/>
      <c r="P31" s="245"/>
      <c r="Q31" s="245"/>
      <c r="R31" s="939" t="e">
        <f>R30-N30</f>
        <v>#DIV/0!</v>
      </c>
      <c r="S31" s="535" t="s">
        <v>972</v>
      </c>
    </row>
    <row r="32" spans="1:19" s="520" customFormat="1" ht="45" customHeight="1" thickBot="1">
      <c r="A32" s="196"/>
      <c r="B32" s="203"/>
      <c r="C32" s="202" t="s">
        <v>173</v>
      </c>
      <c r="D32" s="253">
        <v>1</v>
      </c>
      <c r="E32" s="202" t="s">
        <v>174</v>
      </c>
      <c r="F32" s="182"/>
      <c r="G32" s="182"/>
      <c r="H32" s="182"/>
      <c r="I32" s="195"/>
      <c r="J32" s="196"/>
      <c r="K32" s="536">
        <v>9</v>
      </c>
      <c r="L32" s="537" t="s">
        <v>185</v>
      </c>
      <c r="M32" s="537" t="s">
        <v>40</v>
      </c>
      <c r="N32" s="537"/>
      <c r="O32" s="537"/>
      <c r="P32" s="537"/>
      <c r="Q32" s="537"/>
      <c r="R32" s="938" t="e">
        <f>R31</f>
        <v>#DIV/0!</v>
      </c>
      <c r="S32" s="538" t="s">
        <v>973</v>
      </c>
    </row>
    <row r="33" spans="1:19" ht="15.75">
      <c r="A33" s="64"/>
      <c r="B33" s="210"/>
      <c r="C33" s="202" t="s">
        <v>173</v>
      </c>
      <c r="D33" s="253">
        <v>0</v>
      </c>
      <c r="E33" s="202" t="s">
        <v>175</v>
      </c>
      <c r="F33" s="182"/>
      <c r="G33" s="182"/>
      <c r="H33" s="182"/>
      <c r="I33" s="195"/>
      <c r="J33" s="64"/>
    </row>
    <row r="34" spans="1:19" ht="18.75">
      <c r="A34" s="64"/>
      <c r="B34" s="225"/>
      <c r="C34" s="202" t="s">
        <v>176</v>
      </c>
      <c r="D34" s="96"/>
      <c r="E34" s="672" t="s">
        <v>177</v>
      </c>
      <c r="F34" s="182"/>
      <c r="G34" s="182"/>
      <c r="H34" s="182"/>
      <c r="I34" s="195"/>
      <c r="J34" s="64"/>
      <c r="K34" s="187"/>
      <c r="L34" s="64"/>
      <c r="M34" s="64"/>
      <c r="N34" s="64"/>
      <c r="O34" s="64"/>
      <c r="P34" s="64"/>
      <c r="Q34" s="64"/>
      <c r="R34" s="64"/>
      <c r="S34" s="64"/>
    </row>
    <row r="35" spans="1:19" ht="19.5" thickBot="1">
      <c r="A35" s="64"/>
      <c r="B35" s="534"/>
      <c r="C35" s="254" t="s">
        <v>178</v>
      </c>
      <c r="D35" s="255"/>
      <c r="E35" s="254" t="s">
        <v>179</v>
      </c>
      <c r="F35" s="205"/>
      <c r="G35" s="205"/>
      <c r="H35" s="205"/>
      <c r="I35" s="206"/>
      <c r="J35" s="64"/>
      <c r="K35" s="187"/>
      <c r="L35" s="64"/>
      <c r="M35" s="64"/>
      <c r="N35" s="64"/>
      <c r="O35" s="64"/>
      <c r="P35" s="64"/>
      <c r="Q35" s="64"/>
      <c r="R35" s="64"/>
      <c r="S35" s="64"/>
    </row>
    <row r="36" spans="1:19">
      <c r="B36" s="544"/>
    </row>
    <row r="37" spans="1:19" ht="46.5" customHeight="1">
      <c r="B37" s="547"/>
      <c r="C37" s="544"/>
      <c r="D37" s="517"/>
      <c r="E37" s="517"/>
      <c r="F37" s="517"/>
      <c r="G37" s="517"/>
      <c r="H37" s="517"/>
      <c r="I37" s="517"/>
    </row>
    <row r="38" spans="1:19">
      <c r="B38" s="544"/>
      <c r="C38" s="548"/>
      <c r="D38" s="517"/>
      <c r="E38" s="517"/>
      <c r="F38" s="517"/>
      <c r="G38" s="517"/>
      <c r="H38" s="517"/>
      <c r="I38" s="517"/>
    </row>
    <row r="39" spans="1:19">
      <c r="B39" s="544"/>
      <c r="C39" s="548"/>
      <c r="D39" s="517"/>
      <c r="E39" s="517"/>
      <c r="F39" s="517"/>
      <c r="G39" s="517"/>
      <c r="H39" s="517"/>
      <c r="I39" s="517"/>
    </row>
    <row r="40" spans="1:19">
      <c r="B40" s="544"/>
      <c r="C40" s="544"/>
      <c r="D40" s="517"/>
      <c r="E40" s="517"/>
      <c r="F40" s="517"/>
      <c r="G40" s="517"/>
      <c r="H40" s="517"/>
      <c r="I40" s="517"/>
    </row>
    <row r="41" spans="1:19">
      <c r="B41" s="544"/>
      <c r="C41" s="544"/>
      <c r="D41" s="517"/>
      <c r="E41" s="517"/>
      <c r="F41" s="517"/>
      <c r="G41" s="517"/>
      <c r="H41" s="517"/>
      <c r="I41" s="517"/>
    </row>
    <row r="42" spans="1:19" ht="15.75">
      <c r="I42" s="514"/>
    </row>
    <row r="43" spans="1:19" ht="15.75">
      <c r="I43" s="514"/>
    </row>
    <row r="44" spans="1:19" ht="15.75">
      <c r="I44" s="514"/>
    </row>
    <row r="45" spans="1:19" ht="15.75">
      <c r="I45" s="514"/>
    </row>
    <row r="46" spans="1:19" ht="15.75">
      <c r="I46" s="514"/>
      <c r="K46" s="539"/>
      <c r="M46" s="549"/>
    </row>
    <row r="47" spans="1:19" ht="15.75">
      <c r="I47" s="514"/>
      <c r="K47" s="539"/>
    </row>
  </sheetData>
  <sheetProtection password="CC60" sheet="1" objects="1" scenarios="1"/>
  <customSheetViews>
    <customSheetView guid="{5D90FF31-AD5C-4A69-A320-8978B095DFD4}" scale="80" topLeftCell="A27">
      <selection activeCell="S29" sqref="S29"/>
      <pageMargins left="0.7" right="0.7" top="0.75" bottom="0.75" header="0.3" footer="0.3"/>
      <pageSetup orientation="portrait" verticalDpi="0" r:id="rId1"/>
    </customSheetView>
  </customSheetViews>
  <mergeCells count="7">
    <mergeCell ref="O6:P6"/>
    <mergeCell ref="C29:I29"/>
    <mergeCell ref="C3:J3"/>
    <mergeCell ref="C6:I6"/>
    <mergeCell ref="C24:I24"/>
    <mergeCell ref="C27:I27"/>
    <mergeCell ref="C28:I28"/>
  </mergeCells>
  <dataValidations count="1">
    <dataValidation operator="greaterThanOrEqual" allowBlank="1" showInputMessage="1" showErrorMessage="1" error="Entor Positive values" sqref="Q6"/>
  </dataValidations>
  <pageMargins left="0.7" right="0.7" top="0.75" bottom="0.75" header="0.3" footer="0.3"/>
  <pageSetup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55"/>
  <sheetViews>
    <sheetView topLeftCell="A41" zoomScale="80" zoomScaleNormal="80" workbookViewId="0">
      <selection activeCell="O5" sqref="O5:R6"/>
    </sheetView>
  </sheetViews>
  <sheetFormatPr defaultRowHeight="15"/>
  <cols>
    <col min="1" max="1" width="6.42578125" style="513" customWidth="1"/>
    <col min="2" max="9" width="9.140625" style="513"/>
    <col min="10" max="10" width="6.140625" style="513" customWidth="1"/>
    <col min="11" max="11" width="8.5703125" style="516" customWidth="1"/>
    <col min="12" max="12" width="27.140625" style="513" customWidth="1"/>
    <col min="13" max="13" width="10.42578125" style="516" customWidth="1"/>
    <col min="14" max="18" width="15.7109375" style="513" customWidth="1"/>
    <col min="19" max="19" width="18" style="513" customWidth="1"/>
    <col min="20" max="16384" width="9.140625" style="513"/>
  </cols>
  <sheetData>
    <row r="1" spans="1:19">
      <c r="A1" s="64"/>
      <c r="B1" s="64"/>
      <c r="C1" s="64"/>
      <c r="D1" s="64"/>
      <c r="E1" s="64"/>
      <c r="F1" s="64"/>
      <c r="G1" s="64"/>
      <c r="H1" s="64"/>
      <c r="I1" s="64"/>
      <c r="J1" s="64"/>
      <c r="K1" s="187"/>
      <c r="L1" s="64"/>
    </row>
    <row r="2" spans="1:19" ht="21">
      <c r="A2" s="64"/>
      <c r="B2" s="64"/>
      <c r="C2" s="883" t="s">
        <v>172</v>
      </c>
      <c r="D2" s="473"/>
      <c r="E2" s="473"/>
      <c r="F2" s="473"/>
      <c r="G2" s="473"/>
      <c r="H2" s="473"/>
      <c r="I2" s="473"/>
      <c r="J2" s="473"/>
      <c r="K2" s="472"/>
      <c r="L2" s="884" t="s">
        <v>222</v>
      </c>
      <c r="M2" s="1209"/>
      <c r="N2" s="1210" t="s">
        <v>857</v>
      </c>
      <c r="O2" s="1211"/>
      <c r="P2" s="1211"/>
      <c r="Q2" s="1211"/>
      <c r="R2" s="1212"/>
      <c r="S2" s="1212"/>
    </row>
    <row r="3" spans="1:19" ht="16.5">
      <c r="A3" s="64"/>
      <c r="B3" s="64"/>
      <c r="C3" s="64"/>
      <c r="D3" s="64"/>
      <c r="E3" s="64"/>
      <c r="F3" s="64"/>
      <c r="G3" s="64"/>
      <c r="H3" s="64"/>
      <c r="I3" s="64"/>
      <c r="J3" s="885"/>
      <c r="K3" s="187"/>
      <c r="L3" s="182"/>
    </row>
    <row r="4" spans="1:19" ht="16.5" thickBot="1">
      <c r="A4" s="64"/>
      <c r="B4" s="64"/>
      <c r="C4" s="64"/>
      <c r="D4" s="64"/>
      <c r="E4" s="64"/>
      <c r="F4" s="64"/>
      <c r="G4" s="64"/>
      <c r="H4" s="64"/>
      <c r="I4" s="64"/>
      <c r="J4" s="64"/>
      <c r="K4" s="255"/>
      <c r="L4" s="886" t="s">
        <v>203</v>
      </c>
      <c r="M4" s="1213"/>
      <c r="N4" s="518"/>
      <c r="O4" s="518"/>
      <c r="P4" s="518"/>
      <c r="Q4" s="518"/>
      <c r="R4" s="518"/>
      <c r="S4" s="518"/>
    </row>
    <row r="5" spans="1:19" s="520" customFormat="1" ht="55.5" customHeight="1">
      <c r="A5" s="196"/>
      <c r="B5" s="887">
        <v>1</v>
      </c>
      <c r="C5" s="888" t="s">
        <v>192</v>
      </c>
      <c r="D5" s="889"/>
      <c r="E5" s="889"/>
      <c r="F5" s="889"/>
      <c r="G5" s="889"/>
      <c r="H5" s="889"/>
      <c r="I5" s="890"/>
      <c r="J5" s="891"/>
      <c r="K5" s="892" t="s">
        <v>0</v>
      </c>
      <c r="L5" s="893" t="s">
        <v>36</v>
      </c>
      <c r="M5" s="1214" t="s">
        <v>37</v>
      </c>
      <c r="N5" s="1215" t="s">
        <v>931</v>
      </c>
      <c r="O5" s="1377" t="s">
        <v>932</v>
      </c>
      <c r="P5" s="1378"/>
      <c r="Q5" s="1278" t="s">
        <v>1030</v>
      </c>
      <c r="R5" s="1279" t="s">
        <v>1031</v>
      </c>
      <c r="S5" s="1216" t="s">
        <v>100</v>
      </c>
    </row>
    <row r="6" spans="1:19" ht="21" customHeight="1">
      <c r="A6" s="64"/>
      <c r="B6" s="225">
        <v>1.1000000000000001</v>
      </c>
      <c r="C6" s="202" t="s">
        <v>223</v>
      </c>
      <c r="D6" s="894"/>
      <c r="E6" s="894"/>
      <c r="F6" s="894"/>
      <c r="G6" s="894"/>
      <c r="H6" s="894"/>
      <c r="I6" s="895"/>
      <c r="J6" s="64"/>
      <c r="K6" s="896"/>
      <c r="L6" s="897"/>
      <c r="M6" s="1217"/>
      <c r="N6" s="1315" t="s">
        <v>43</v>
      </c>
      <c r="O6" s="1316" t="s">
        <v>886</v>
      </c>
      <c r="P6" s="1316" t="s">
        <v>887</v>
      </c>
      <c r="Q6" s="1317" t="s">
        <v>1025</v>
      </c>
      <c r="R6" s="1318" t="s">
        <v>1026</v>
      </c>
      <c r="S6" s="1218"/>
    </row>
    <row r="7" spans="1:19" ht="16.5" customHeight="1">
      <c r="A7" s="64"/>
      <c r="B7" s="210"/>
      <c r="C7" s="898" t="s">
        <v>228</v>
      </c>
      <c r="D7" s="894"/>
      <c r="E7" s="894"/>
      <c r="F7" s="894"/>
      <c r="G7" s="894"/>
      <c r="H7" s="894"/>
      <c r="I7" s="895"/>
      <c r="J7" s="64"/>
      <c r="K7" s="256">
        <v>1</v>
      </c>
      <c r="L7" s="229" t="s">
        <v>238</v>
      </c>
      <c r="M7" s="1204"/>
      <c r="N7" s="522"/>
      <c r="O7" s="522"/>
      <c r="P7" s="522"/>
      <c r="Q7" s="522"/>
      <c r="R7" s="522"/>
      <c r="S7" s="523"/>
    </row>
    <row r="8" spans="1:19" ht="31.5">
      <c r="A8" s="64"/>
      <c r="B8" s="210"/>
      <c r="C8" s="202" t="s">
        <v>229</v>
      </c>
      <c r="D8" s="899"/>
      <c r="E8" s="899"/>
      <c r="F8" s="899"/>
      <c r="G8" s="899"/>
      <c r="H8" s="899"/>
      <c r="I8" s="895"/>
      <c r="J8" s="900"/>
      <c r="K8" s="1201"/>
      <c r="L8" s="901" t="s">
        <v>236</v>
      </c>
      <c r="M8" s="1204"/>
      <c r="N8" s="509"/>
      <c r="O8" s="509"/>
      <c r="P8" s="509"/>
      <c r="Q8" s="509"/>
      <c r="R8" s="509"/>
      <c r="S8" s="523"/>
    </row>
    <row r="9" spans="1:19" ht="15.75">
      <c r="A9" s="64"/>
      <c r="B9" s="225"/>
      <c r="C9" s="202" t="s">
        <v>249</v>
      </c>
      <c r="D9" s="899"/>
      <c r="E9" s="899"/>
      <c r="F9" s="899"/>
      <c r="G9" s="899"/>
      <c r="H9" s="899"/>
      <c r="I9" s="895"/>
      <c r="J9" s="902"/>
      <c r="K9" s="1201">
        <v>2</v>
      </c>
      <c r="L9" s="106" t="s">
        <v>152</v>
      </c>
      <c r="M9" s="1204"/>
      <c r="N9" s="522"/>
      <c r="O9" s="522"/>
      <c r="P9" s="522"/>
      <c r="Q9" s="522"/>
      <c r="R9" s="522"/>
      <c r="S9" s="523"/>
    </row>
    <row r="10" spans="1:19" ht="15.75">
      <c r="A10" s="64"/>
      <c r="B10" s="225"/>
      <c r="C10" s="898" t="s">
        <v>251</v>
      </c>
      <c r="D10" s="894"/>
      <c r="E10" s="894"/>
      <c r="F10" s="894"/>
      <c r="G10" s="894"/>
      <c r="H10" s="899"/>
      <c r="I10" s="895"/>
      <c r="J10" s="903"/>
      <c r="K10" s="1201"/>
      <c r="L10" s="106"/>
      <c r="M10" s="1204"/>
      <c r="N10" s="509"/>
      <c r="O10" s="509"/>
      <c r="P10" s="509"/>
      <c r="Q10" s="509"/>
      <c r="R10" s="509"/>
      <c r="S10" s="523"/>
    </row>
    <row r="11" spans="1:19" ht="15.75">
      <c r="A11" s="64"/>
      <c r="B11" s="225"/>
      <c r="C11" s="202" t="s">
        <v>250</v>
      </c>
      <c r="D11" s="894"/>
      <c r="E11" s="894"/>
      <c r="F11" s="894"/>
      <c r="G11" s="894"/>
      <c r="H11" s="894"/>
      <c r="I11" s="895"/>
      <c r="J11" s="64"/>
      <c r="K11" s="1429">
        <v>3</v>
      </c>
      <c r="L11" s="904" t="s">
        <v>153</v>
      </c>
      <c r="M11" s="1431"/>
      <c r="N11" s="1425"/>
      <c r="O11" s="1425"/>
      <c r="P11" s="1425"/>
      <c r="Q11" s="1198"/>
      <c r="R11" s="1425"/>
      <c r="S11" s="524"/>
    </row>
    <row r="12" spans="1:19" ht="15.75">
      <c r="A12" s="64"/>
      <c r="B12" s="210"/>
      <c r="C12" s="898" t="s">
        <v>252</v>
      </c>
      <c r="D12" s="894"/>
      <c r="E12" s="894"/>
      <c r="F12" s="894"/>
      <c r="G12" s="894"/>
      <c r="H12" s="899"/>
      <c r="I12" s="895"/>
      <c r="J12" s="891"/>
      <c r="K12" s="1430"/>
      <c r="L12" s="905" t="s">
        <v>154</v>
      </c>
      <c r="M12" s="1432"/>
      <c r="N12" s="1426"/>
      <c r="O12" s="1426"/>
      <c r="P12" s="1426"/>
      <c r="Q12" s="1199"/>
      <c r="R12" s="1426"/>
      <c r="S12" s="525"/>
    </row>
    <row r="13" spans="1:19" ht="15.75">
      <c r="A13" s="64"/>
      <c r="B13" s="225"/>
      <c r="C13" s="1197" t="s">
        <v>253</v>
      </c>
      <c r="D13" s="894"/>
      <c r="E13" s="894"/>
      <c r="F13" s="894"/>
      <c r="G13" s="894"/>
      <c r="H13" s="894"/>
      <c r="I13" s="906"/>
      <c r="J13" s="64"/>
      <c r="K13" s="1201" t="s">
        <v>44</v>
      </c>
      <c r="L13" s="106" t="s">
        <v>155</v>
      </c>
      <c r="M13" s="1204"/>
      <c r="N13" s="522"/>
      <c r="O13" s="522"/>
      <c r="P13" s="522"/>
      <c r="Q13" s="522"/>
      <c r="R13" s="522"/>
      <c r="S13" s="523"/>
    </row>
    <row r="14" spans="1:19" ht="15.75">
      <c r="A14" s="64"/>
      <c r="B14" s="225"/>
      <c r="C14" s="898" t="s">
        <v>254</v>
      </c>
      <c r="D14" s="894"/>
      <c r="E14" s="894"/>
      <c r="F14" s="894"/>
      <c r="G14" s="894"/>
      <c r="H14" s="894"/>
      <c r="I14" s="906"/>
      <c r="J14" s="907"/>
      <c r="K14" s="1201" t="s">
        <v>45</v>
      </c>
      <c r="L14" s="106" t="s">
        <v>156</v>
      </c>
      <c r="M14" s="1204"/>
      <c r="N14" s="522"/>
      <c r="O14" s="522"/>
      <c r="P14" s="522"/>
      <c r="Q14" s="522"/>
      <c r="R14" s="522"/>
      <c r="S14" s="523"/>
    </row>
    <row r="15" spans="1:19" ht="15.75">
      <c r="A15" s="64"/>
      <c r="B15" s="210"/>
      <c r="C15" s="908"/>
      <c r="D15" s="182"/>
      <c r="E15" s="202"/>
      <c r="F15" s="182"/>
      <c r="G15" s="182"/>
      <c r="H15" s="202"/>
      <c r="I15" s="195"/>
      <c r="J15" s="64"/>
      <c r="K15" s="1201" t="s">
        <v>69</v>
      </c>
      <c r="L15" s="106" t="s">
        <v>157</v>
      </c>
      <c r="M15" s="1204"/>
      <c r="N15" s="522"/>
      <c r="O15" s="522"/>
      <c r="P15" s="522"/>
      <c r="Q15" s="522"/>
      <c r="R15" s="522"/>
      <c r="S15" s="523"/>
    </row>
    <row r="16" spans="1:19" ht="18.75">
      <c r="A16" s="64"/>
      <c r="B16" s="909">
        <v>2</v>
      </c>
      <c r="C16" s="198" t="s">
        <v>189</v>
      </c>
      <c r="D16" s="230"/>
      <c r="E16" s="230"/>
      <c r="F16" s="230"/>
      <c r="G16" s="910"/>
      <c r="H16" s="910"/>
      <c r="I16" s="911"/>
      <c r="J16" s="903"/>
      <c r="K16" s="1201" t="s">
        <v>116</v>
      </c>
      <c r="L16" s="106" t="s">
        <v>158</v>
      </c>
      <c r="M16" s="1204"/>
      <c r="N16" s="522"/>
      <c r="O16" s="522"/>
      <c r="P16" s="522"/>
      <c r="Q16" s="522"/>
      <c r="R16" s="522"/>
      <c r="S16" s="523"/>
    </row>
    <row r="17" spans="1:19" ht="15.75">
      <c r="A17" s="64"/>
      <c r="B17" s="225">
        <v>2.1</v>
      </c>
      <c r="C17" s="202" t="s">
        <v>224</v>
      </c>
      <c r="D17" s="894"/>
      <c r="E17" s="894"/>
      <c r="F17" s="894"/>
      <c r="G17" s="894"/>
      <c r="H17" s="894"/>
      <c r="I17" s="895"/>
      <c r="J17" s="903"/>
      <c r="K17" s="1201" t="s">
        <v>159</v>
      </c>
      <c r="L17" s="106" t="s">
        <v>160</v>
      </c>
      <c r="M17" s="1204" t="s">
        <v>161</v>
      </c>
      <c r="N17" s="522"/>
      <c r="O17" s="522"/>
      <c r="P17" s="522"/>
      <c r="Q17" s="522"/>
      <c r="R17" s="522"/>
      <c r="S17" s="523"/>
    </row>
    <row r="18" spans="1:19" ht="15.75">
      <c r="A18" s="64"/>
      <c r="B18" s="912"/>
      <c r="C18" s="894" t="s">
        <v>230</v>
      </c>
      <c r="D18" s="894"/>
      <c r="E18" s="894"/>
      <c r="F18" s="894"/>
      <c r="G18" s="230"/>
      <c r="H18" s="230"/>
      <c r="I18" s="231"/>
      <c r="J18" s="900"/>
      <c r="K18" s="1201" t="s">
        <v>162</v>
      </c>
      <c r="L18" s="106" t="s">
        <v>163</v>
      </c>
      <c r="M18" s="1204" t="s">
        <v>10</v>
      </c>
      <c r="N18" s="522"/>
      <c r="O18" s="522"/>
      <c r="P18" s="522"/>
      <c r="Q18" s="522"/>
      <c r="R18" s="522"/>
      <c r="S18" s="523"/>
    </row>
    <row r="19" spans="1:19" ht="15.75">
      <c r="A19" s="64"/>
      <c r="B19" s="912"/>
      <c r="C19" s="202" t="s">
        <v>231</v>
      </c>
      <c r="D19" s="894"/>
      <c r="E19" s="894"/>
      <c r="F19" s="894"/>
      <c r="G19" s="894"/>
      <c r="H19" s="894"/>
      <c r="I19" s="895"/>
      <c r="J19" s="64"/>
      <c r="K19" s="1201"/>
      <c r="L19" s="106"/>
      <c r="M19" s="1204"/>
      <c r="N19" s="509"/>
      <c r="O19" s="509"/>
      <c r="P19" s="509"/>
      <c r="Q19" s="509"/>
      <c r="R19" s="509"/>
      <c r="S19" s="523"/>
    </row>
    <row r="20" spans="1:19" ht="15.75">
      <c r="A20" s="64"/>
      <c r="B20" s="225"/>
      <c r="C20" s="1197" t="s">
        <v>232</v>
      </c>
      <c r="D20" s="894"/>
      <c r="E20" s="894"/>
      <c r="F20" s="894"/>
      <c r="G20" s="894"/>
      <c r="H20" s="894"/>
      <c r="I20" s="895"/>
      <c r="J20" s="171"/>
      <c r="K20" s="1429">
        <v>4</v>
      </c>
      <c r="L20" s="904" t="s">
        <v>153</v>
      </c>
      <c r="M20" s="1431"/>
      <c r="N20" s="1425"/>
      <c r="O20" s="1425"/>
      <c r="P20" s="1425"/>
      <c r="Q20" s="1198"/>
      <c r="R20" s="1425"/>
      <c r="S20" s="524"/>
    </row>
    <row r="21" spans="1:19" ht="15.75">
      <c r="A21" s="64"/>
      <c r="B21" s="225"/>
      <c r="C21" s="1197" t="s">
        <v>233</v>
      </c>
      <c r="D21" s="894"/>
      <c r="E21" s="894"/>
      <c r="F21" s="894"/>
      <c r="G21" s="894"/>
      <c r="H21" s="894"/>
      <c r="I21" s="895"/>
      <c r="J21" s="64"/>
      <c r="K21" s="1430"/>
      <c r="L21" s="905" t="s">
        <v>164</v>
      </c>
      <c r="M21" s="1432"/>
      <c r="N21" s="1426"/>
      <c r="O21" s="1426"/>
      <c r="P21" s="1426"/>
      <c r="Q21" s="1199"/>
      <c r="R21" s="1426"/>
      <c r="S21" s="525"/>
    </row>
    <row r="22" spans="1:19" ht="15.75">
      <c r="A22" s="64"/>
      <c r="B22" s="225"/>
      <c r="C22" s="1197" t="s">
        <v>234</v>
      </c>
      <c r="D22" s="894"/>
      <c r="E22" s="894"/>
      <c r="F22" s="894"/>
      <c r="G22" s="894"/>
      <c r="H22" s="894"/>
      <c r="I22" s="895"/>
      <c r="J22" s="907"/>
      <c r="K22" s="1201" t="s">
        <v>44</v>
      </c>
      <c r="L22" s="106" t="s">
        <v>155</v>
      </c>
      <c r="M22" s="1204"/>
      <c r="N22" s="522"/>
      <c r="O22" s="522"/>
      <c r="P22" s="522"/>
      <c r="Q22" s="522"/>
      <c r="R22" s="522"/>
      <c r="S22" s="523"/>
    </row>
    <row r="23" spans="1:19" ht="15.75">
      <c r="A23" s="64"/>
      <c r="B23" s="210"/>
      <c r="C23" s="898" t="s">
        <v>235</v>
      </c>
      <c r="D23" s="894"/>
      <c r="E23" s="894"/>
      <c r="F23" s="894"/>
      <c r="G23" s="894"/>
      <c r="H23" s="894"/>
      <c r="I23" s="895"/>
      <c r="J23" s="64"/>
      <c r="K23" s="1201" t="s">
        <v>45</v>
      </c>
      <c r="L23" s="106" t="s">
        <v>156</v>
      </c>
      <c r="M23" s="1204"/>
      <c r="N23" s="522"/>
      <c r="O23" s="522"/>
      <c r="P23" s="522"/>
      <c r="Q23" s="522"/>
      <c r="R23" s="522"/>
      <c r="S23" s="523"/>
    </row>
    <row r="24" spans="1:19" ht="15.75">
      <c r="A24" s="64"/>
      <c r="B24" s="225">
        <v>2.2000000000000002</v>
      </c>
      <c r="C24" s="202" t="s">
        <v>255</v>
      </c>
      <c r="D24" s="894"/>
      <c r="E24" s="894"/>
      <c r="F24" s="894"/>
      <c r="G24" s="894"/>
      <c r="H24" s="230"/>
      <c r="I24" s="231"/>
      <c r="J24" s="913"/>
      <c r="K24" s="1201" t="s">
        <v>69</v>
      </c>
      <c r="L24" s="106" t="s">
        <v>157</v>
      </c>
      <c r="M24" s="1204"/>
      <c r="N24" s="522"/>
      <c r="O24" s="522"/>
      <c r="P24" s="522"/>
      <c r="Q24" s="522"/>
      <c r="R24" s="522"/>
      <c r="S24" s="523"/>
    </row>
    <row r="25" spans="1:19" ht="15.75">
      <c r="A25" s="64"/>
      <c r="B25" s="912"/>
      <c r="C25" s="202" t="s">
        <v>256</v>
      </c>
      <c r="D25" s="894"/>
      <c r="E25" s="894"/>
      <c r="F25" s="894"/>
      <c r="G25" s="894"/>
      <c r="H25" s="202"/>
      <c r="I25" s="231"/>
      <c r="J25" s="64"/>
      <c r="K25" s="1201" t="s">
        <v>116</v>
      </c>
      <c r="L25" s="106" t="s">
        <v>158</v>
      </c>
      <c r="M25" s="1204"/>
      <c r="N25" s="522"/>
      <c r="O25" s="522"/>
      <c r="P25" s="522"/>
      <c r="Q25" s="522"/>
      <c r="R25" s="522"/>
      <c r="S25" s="523"/>
    </row>
    <row r="26" spans="1:19" ht="15.75">
      <c r="A26" s="64"/>
      <c r="B26" s="912"/>
      <c r="C26" s="182"/>
      <c r="D26" s="182"/>
      <c r="E26" s="182"/>
      <c r="F26" s="182"/>
      <c r="G26" s="182"/>
      <c r="H26" s="182"/>
      <c r="I26" s="195"/>
      <c r="J26" s="64"/>
      <c r="K26" s="1201" t="s">
        <v>159</v>
      </c>
      <c r="L26" s="106" t="s">
        <v>160</v>
      </c>
      <c r="M26" s="1204" t="s">
        <v>161</v>
      </c>
      <c r="N26" s="522"/>
      <c r="O26" s="522"/>
      <c r="P26" s="522"/>
      <c r="Q26" s="522"/>
      <c r="R26" s="522"/>
      <c r="S26" s="523"/>
    </row>
    <row r="27" spans="1:19" ht="15.75">
      <c r="A27" s="64"/>
      <c r="B27" s="239" t="s">
        <v>44</v>
      </c>
      <c r="C27" s="202" t="s">
        <v>226</v>
      </c>
      <c r="D27" s="894"/>
      <c r="E27" s="894"/>
      <c r="F27" s="894"/>
      <c r="G27" s="894"/>
      <c r="H27" s="1195"/>
      <c r="I27" s="1196"/>
      <c r="J27" s="64"/>
      <c r="K27" s="1201" t="s">
        <v>162</v>
      </c>
      <c r="L27" s="106" t="s">
        <v>163</v>
      </c>
      <c r="M27" s="1204" t="s">
        <v>10</v>
      </c>
      <c r="N27" s="522"/>
      <c r="O27" s="522"/>
      <c r="P27" s="522"/>
      <c r="Q27" s="522"/>
      <c r="R27" s="522"/>
      <c r="S27" s="523"/>
    </row>
    <row r="28" spans="1:19" ht="15.75">
      <c r="A28" s="64"/>
      <c r="B28" s="912"/>
      <c r="C28" s="202" t="s">
        <v>257</v>
      </c>
      <c r="D28" s="894"/>
      <c r="E28" s="894"/>
      <c r="F28" s="894"/>
      <c r="G28" s="894"/>
      <c r="H28" s="1193"/>
      <c r="I28" s="1194"/>
      <c r="J28" s="64"/>
      <c r="K28" s="1201"/>
      <c r="L28" s="106" t="s">
        <v>261</v>
      </c>
      <c r="M28" s="1204"/>
      <c r="N28" s="522"/>
      <c r="O28" s="522"/>
      <c r="P28" s="522"/>
      <c r="Q28" s="522"/>
      <c r="R28" s="522"/>
      <c r="S28" s="523"/>
    </row>
    <row r="29" spans="1:19" ht="15.75">
      <c r="A29" s="64"/>
      <c r="B29" s="210" t="s">
        <v>45</v>
      </c>
      <c r="C29" s="202" t="s">
        <v>227</v>
      </c>
      <c r="D29" s="894"/>
      <c r="E29" s="894"/>
      <c r="F29" s="894"/>
      <c r="G29" s="894"/>
      <c r="H29" s="1197"/>
      <c r="I29" s="195"/>
      <c r="J29" s="64"/>
      <c r="K29" s="1201"/>
      <c r="L29" s="106"/>
      <c r="M29" s="1204"/>
      <c r="N29" s="509"/>
      <c r="O29" s="509"/>
      <c r="P29" s="509"/>
      <c r="Q29" s="509"/>
      <c r="R29" s="509"/>
      <c r="S29" s="523"/>
    </row>
    <row r="30" spans="1:19" ht="15.75">
      <c r="A30" s="64"/>
      <c r="B30" s="210"/>
      <c r="C30" s="1197" t="s">
        <v>225</v>
      </c>
      <c r="D30" s="230"/>
      <c r="E30" s="230"/>
      <c r="F30" s="230"/>
      <c r="G30" s="230"/>
      <c r="H30" s="230"/>
      <c r="I30" s="195"/>
      <c r="J30" s="64"/>
      <c r="K30" s="256">
        <v>5</v>
      </c>
      <c r="L30" s="229" t="s">
        <v>107</v>
      </c>
      <c r="M30" s="1204"/>
      <c r="N30" s="509"/>
      <c r="O30" s="509"/>
      <c r="P30" s="509"/>
      <c r="Q30" s="509"/>
      <c r="R30" s="509"/>
      <c r="S30" s="523"/>
    </row>
    <row r="31" spans="1:19" ht="15.75">
      <c r="A31" s="64"/>
      <c r="B31" s="225" t="s">
        <v>69</v>
      </c>
      <c r="C31" s="202" t="s">
        <v>258</v>
      </c>
      <c r="D31" s="894"/>
      <c r="E31" s="894"/>
      <c r="F31" s="894"/>
      <c r="G31" s="894"/>
      <c r="H31" s="1195"/>
      <c r="I31" s="1196"/>
      <c r="J31" s="64"/>
      <c r="K31" s="1201" t="s">
        <v>44</v>
      </c>
      <c r="L31" s="106" t="s">
        <v>165</v>
      </c>
      <c r="M31" s="1204"/>
      <c r="N31" s="522"/>
      <c r="O31" s="522"/>
      <c r="P31" s="522"/>
      <c r="Q31" s="522"/>
      <c r="R31" s="522"/>
      <c r="S31" s="523"/>
    </row>
    <row r="32" spans="1:19" ht="15.75">
      <c r="A32" s="64"/>
      <c r="B32" s="912"/>
      <c r="C32" s="894" t="s">
        <v>259</v>
      </c>
      <c r="D32" s="894"/>
      <c r="E32" s="894"/>
      <c r="F32" s="894"/>
      <c r="G32" s="894"/>
      <c r="H32" s="894"/>
      <c r="I32" s="895"/>
      <c r="J32" s="64"/>
      <c r="K32" s="661" t="s">
        <v>45</v>
      </c>
      <c r="L32" s="106" t="s">
        <v>262</v>
      </c>
      <c r="M32" s="528"/>
      <c r="N32" s="522"/>
      <c r="O32" s="522"/>
      <c r="P32" s="522"/>
      <c r="Q32" s="522"/>
      <c r="R32" s="522"/>
      <c r="S32" s="523"/>
    </row>
    <row r="33" spans="1:19" ht="15.75">
      <c r="A33" s="64"/>
      <c r="B33" s="239"/>
      <c r="C33" s="894" t="s">
        <v>260</v>
      </c>
      <c r="D33" s="894"/>
      <c r="E33" s="894"/>
      <c r="F33" s="894"/>
      <c r="G33" s="894"/>
      <c r="H33" s="894"/>
      <c r="I33" s="895"/>
      <c r="J33" s="64"/>
      <c r="K33" s="1201" t="s">
        <v>69</v>
      </c>
      <c r="L33" s="106" t="s">
        <v>166</v>
      </c>
      <c r="M33" s="1204" t="s">
        <v>167</v>
      </c>
      <c r="N33" s="522"/>
      <c r="O33" s="522"/>
      <c r="P33" s="522"/>
      <c r="Q33" s="522"/>
      <c r="R33" s="522"/>
      <c r="S33" s="523"/>
    </row>
    <row r="34" spans="1:19" ht="15.75">
      <c r="A34" s="64"/>
      <c r="B34" s="912"/>
      <c r="C34" s="894"/>
      <c r="D34" s="894"/>
      <c r="E34" s="894"/>
      <c r="F34" s="894"/>
      <c r="G34" s="894"/>
      <c r="H34" s="894"/>
      <c r="I34" s="895"/>
      <c r="J34" s="64"/>
      <c r="K34" s="187" t="s">
        <v>116</v>
      </c>
      <c r="L34" s="914" t="s">
        <v>261</v>
      </c>
      <c r="N34" s="522"/>
      <c r="O34" s="522"/>
      <c r="P34" s="522"/>
      <c r="Q34" s="522"/>
      <c r="R34" s="522"/>
      <c r="S34" s="523"/>
    </row>
    <row r="35" spans="1:19" ht="15.75">
      <c r="A35" s="64"/>
      <c r="B35" s="242">
        <v>3</v>
      </c>
      <c r="C35" s="243" t="s">
        <v>190</v>
      </c>
      <c r="D35" s="230"/>
      <c r="E35" s="230"/>
      <c r="F35" s="230"/>
      <c r="G35" s="250"/>
      <c r="H35" s="250"/>
      <c r="I35" s="251"/>
      <c r="J35" s="64"/>
      <c r="K35" s="1201"/>
      <c r="L35" s="106"/>
      <c r="M35" s="1204"/>
      <c r="N35" s="509"/>
      <c r="O35" s="509"/>
      <c r="P35" s="509"/>
      <c r="Q35" s="509"/>
      <c r="R35" s="509"/>
      <c r="S35" s="523"/>
    </row>
    <row r="36" spans="1:19" ht="54" customHeight="1" thickBot="1">
      <c r="A36" s="64"/>
      <c r="B36" s="915"/>
      <c r="C36" s="1427" t="s">
        <v>237</v>
      </c>
      <c r="D36" s="1427"/>
      <c r="E36" s="1427"/>
      <c r="F36" s="1427"/>
      <c r="G36" s="1427"/>
      <c r="H36" s="1427"/>
      <c r="I36" s="1428"/>
      <c r="J36" s="64"/>
      <c r="K36" s="256">
        <v>6</v>
      </c>
      <c r="L36" s="229" t="s">
        <v>168</v>
      </c>
      <c r="M36" s="1204"/>
      <c r="N36" s="509"/>
      <c r="O36" s="509"/>
      <c r="P36" s="509"/>
      <c r="Q36" s="509"/>
      <c r="R36" s="509"/>
      <c r="S36" s="523"/>
    </row>
    <row r="37" spans="1:19" ht="27" customHeight="1">
      <c r="A37" s="64"/>
      <c r="B37" s="916"/>
      <c r="C37" s="1193"/>
      <c r="D37" s="1193"/>
      <c r="E37" s="1193"/>
      <c r="F37" s="1193"/>
      <c r="G37" s="1193"/>
      <c r="H37" s="1193"/>
      <c r="I37" s="1193"/>
      <c r="J37" s="64"/>
      <c r="K37" s="1201">
        <v>6.1</v>
      </c>
      <c r="L37" s="917" t="s">
        <v>248</v>
      </c>
      <c r="M37" s="1204"/>
      <c r="N37" s="522"/>
      <c r="O37" s="522"/>
      <c r="P37" s="522"/>
      <c r="Q37" s="522"/>
      <c r="R37" s="522"/>
      <c r="S37" s="523"/>
    </row>
    <row r="38" spans="1:19" ht="40.5" customHeight="1">
      <c r="A38" s="64"/>
      <c r="B38" s="918"/>
      <c r="C38" s="1193"/>
      <c r="D38" s="1193"/>
      <c r="E38" s="1193"/>
      <c r="F38" s="1193"/>
      <c r="G38" s="1193"/>
      <c r="H38" s="1193"/>
      <c r="I38" s="1193"/>
      <c r="J38" s="64"/>
      <c r="K38" s="1201">
        <v>6.2</v>
      </c>
      <c r="L38" s="257" t="s">
        <v>247</v>
      </c>
      <c r="M38" s="1219" t="s">
        <v>64</v>
      </c>
      <c r="N38" s="1109"/>
      <c r="O38" s="1109"/>
      <c r="P38" s="522"/>
      <c r="Q38" s="522"/>
      <c r="R38" s="1109"/>
      <c r="S38" s="523"/>
    </row>
    <row r="39" spans="1:19" s="520" customFormat="1" ht="58.5" customHeight="1">
      <c r="A39" s="196"/>
      <c r="B39" s="1424"/>
      <c r="C39" s="1424"/>
      <c r="D39" s="1424"/>
      <c r="E39" s="1424"/>
      <c r="F39" s="1424"/>
      <c r="G39" s="1424"/>
      <c r="H39" s="919"/>
      <c r="I39" s="919"/>
      <c r="J39" s="196"/>
      <c r="K39" s="232">
        <v>6.3</v>
      </c>
      <c r="L39" s="233" t="s">
        <v>240</v>
      </c>
      <c r="M39" s="1220" t="s">
        <v>64</v>
      </c>
      <c r="N39" s="1221">
        <f>'Prod_energy_best monthly'!AD156</f>
        <v>7.7947666584309978</v>
      </c>
      <c r="O39" s="1221">
        <f>'Prod_energy_best monthly'!AD113</f>
        <v>7.7223101203282569</v>
      </c>
      <c r="P39" s="1221">
        <f>'Prod_energy_best monthly'!AD66</f>
        <v>7.8189580195464545</v>
      </c>
      <c r="Q39" s="1221">
        <f>'Prod_energy_best monthly'!Q113</f>
        <v>7.7083014230643823</v>
      </c>
      <c r="R39" s="1221">
        <f>'Prod_energy_best monthly'!Q66</f>
        <v>7.7548470807185748</v>
      </c>
      <c r="S39" s="529"/>
    </row>
    <row r="40" spans="1:19" s="520" customFormat="1" ht="52.5" customHeight="1">
      <c r="A40" s="196"/>
      <c r="B40" s="202"/>
      <c r="C40" s="894"/>
      <c r="D40" s="894"/>
      <c r="E40" s="894"/>
      <c r="F40" s="894"/>
      <c r="G40" s="1195"/>
      <c r="H40" s="1195"/>
      <c r="I40" s="919"/>
      <c r="J40" s="196"/>
      <c r="K40" s="232">
        <v>6.4</v>
      </c>
      <c r="L40" s="233" t="s">
        <v>241</v>
      </c>
      <c r="M40" s="1220" t="s">
        <v>64</v>
      </c>
      <c r="N40" s="1121">
        <f>N38-N39</f>
        <v>-7.7947666584309978</v>
      </c>
      <c r="O40" s="1121">
        <f>O38-O39</f>
        <v>-7.7223101203282569</v>
      </c>
      <c r="P40" s="1121">
        <f>P38-P39</f>
        <v>-7.8189580195464545</v>
      </c>
      <c r="Q40" s="1121">
        <f>Q38-Q39</f>
        <v>-7.7083014230643823</v>
      </c>
      <c r="R40" s="1121">
        <f>R38-R39</f>
        <v>-7.7548470807185748</v>
      </c>
      <c r="S40" s="529"/>
    </row>
    <row r="41" spans="1:19" ht="55.5" customHeight="1">
      <c r="A41" s="64"/>
      <c r="B41" s="894"/>
      <c r="C41" s="894"/>
      <c r="D41" s="894"/>
      <c r="E41" s="894"/>
      <c r="F41" s="894"/>
      <c r="G41" s="894"/>
      <c r="H41" s="894"/>
      <c r="I41" s="182"/>
      <c r="J41" s="64"/>
      <c r="K41" s="1201">
        <v>6.5</v>
      </c>
      <c r="L41" s="106" t="s">
        <v>169</v>
      </c>
      <c r="M41" s="1204" t="s">
        <v>64</v>
      </c>
      <c r="N41" s="505"/>
      <c r="O41" s="505"/>
      <c r="P41" s="505"/>
      <c r="Q41" s="505"/>
      <c r="R41" s="505"/>
      <c r="S41" s="523"/>
    </row>
    <row r="42" spans="1:19" s="520" customFormat="1" ht="66.75" customHeight="1">
      <c r="A42" s="196"/>
      <c r="B42" s="894"/>
      <c r="C42" s="894"/>
      <c r="D42" s="894"/>
      <c r="E42" s="894"/>
      <c r="F42" s="894"/>
      <c r="G42" s="894"/>
      <c r="H42" s="894"/>
      <c r="I42" s="919"/>
      <c r="J42" s="196"/>
      <c r="K42" s="232">
        <v>6.6</v>
      </c>
      <c r="L42" s="233" t="s">
        <v>242</v>
      </c>
      <c r="M42" s="1220" t="s">
        <v>64</v>
      </c>
      <c r="N42" s="1121">
        <f>N40-N41</f>
        <v>-7.7947666584309978</v>
      </c>
      <c r="O42" s="1121">
        <f>O40-O41</f>
        <v>-7.7223101203282569</v>
      </c>
      <c r="P42" s="1121">
        <f>P40-P41</f>
        <v>-7.8189580195464545</v>
      </c>
      <c r="Q42" s="1121">
        <f>Q40-Q41</f>
        <v>-7.7083014230643823</v>
      </c>
      <c r="R42" s="1121">
        <f>R40-R41</f>
        <v>-7.7548470807185748</v>
      </c>
      <c r="S42" s="529"/>
    </row>
    <row r="43" spans="1:19" s="520" customFormat="1" ht="54.75" customHeight="1">
      <c r="A43" s="196"/>
      <c r="B43" s="894"/>
      <c r="C43" s="894"/>
      <c r="D43" s="894"/>
      <c r="E43" s="894"/>
      <c r="F43" s="894"/>
      <c r="G43" s="894"/>
      <c r="H43" s="894"/>
      <c r="I43" s="196"/>
      <c r="J43" s="196"/>
      <c r="K43" s="232">
        <v>6.7</v>
      </c>
      <c r="L43" s="233" t="s">
        <v>239</v>
      </c>
      <c r="M43" s="1204" t="s">
        <v>10</v>
      </c>
      <c r="N43" s="522"/>
      <c r="O43" s="522"/>
      <c r="P43" s="522"/>
      <c r="Q43" s="522"/>
      <c r="R43" s="522"/>
      <c r="S43" s="529"/>
    </row>
    <row r="44" spans="1:19" s="520" customFormat="1" ht="64.5" customHeight="1">
      <c r="A44" s="196"/>
      <c r="B44" s="196"/>
      <c r="C44" s="196"/>
      <c r="D44" s="196"/>
      <c r="E44" s="196"/>
      <c r="F44" s="196"/>
      <c r="G44" s="196"/>
      <c r="H44" s="196"/>
      <c r="I44" s="196"/>
      <c r="J44" s="196"/>
      <c r="K44" s="232">
        <v>6.8</v>
      </c>
      <c r="L44" s="233" t="s">
        <v>243</v>
      </c>
      <c r="M44" s="1204" t="s">
        <v>147</v>
      </c>
      <c r="N44" s="1222">
        <f>N42*N43</f>
        <v>0</v>
      </c>
      <c r="O44" s="1222">
        <f>O42*O43</f>
        <v>0</v>
      </c>
      <c r="P44" s="1222">
        <f>P42*P43</f>
        <v>0</v>
      </c>
      <c r="Q44" s="1222">
        <f>Q42*Q43</f>
        <v>0</v>
      </c>
      <c r="R44" s="1222">
        <f>R42*R43</f>
        <v>0</v>
      </c>
      <c r="S44" s="529"/>
    </row>
    <row r="45" spans="1:19" ht="51.75" customHeight="1">
      <c r="A45" s="64"/>
      <c r="B45" s="64"/>
      <c r="C45" s="64"/>
      <c r="D45" s="64"/>
      <c r="E45" s="64"/>
      <c r="F45" s="64"/>
      <c r="G45" s="64"/>
      <c r="H45" s="64"/>
      <c r="I45" s="64"/>
      <c r="J45" s="64"/>
      <c r="K45" s="256">
        <v>7</v>
      </c>
      <c r="L45" s="229" t="s">
        <v>263</v>
      </c>
      <c r="M45" s="1204"/>
      <c r="N45" s="509"/>
      <c r="O45" s="509"/>
      <c r="P45" s="509"/>
      <c r="Q45" s="509"/>
      <c r="R45" s="509"/>
      <c r="S45" s="523"/>
    </row>
    <row r="46" spans="1:19" s="530" customFormat="1" ht="23.25" customHeight="1">
      <c r="A46" s="920"/>
      <c r="B46" s="920"/>
      <c r="C46" s="920"/>
      <c r="D46" s="920"/>
      <c r="E46" s="920"/>
      <c r="F46" s="920"/>
      <c r="G46" s="920"/>
      <c r="H46" s="920"/>
      <c r="I46" s="920"/>
      <c r="J46" s="920"/>
      <c r="K46" s="258">
        <v>7.1</v>
      </c>
      <c r="L46" s="259" t="s">
        <v>148</v>
      </c>
      <c r="M46" s="1223" t="s">
        <v>244</v>
      </c>
      <c r="N46" s="1224">
        <f>'Prod_energy_best monthly'!E20</f>
        <v>0</v>
      </c>
      <c r="O46" s="1224">
        <f>'Prod_energy_best monthly'!F20</f>
        <v>0</v>
      </c>
      <c r="P46" s="1224">
        <f>'Prod_energy_best monthly'!G20</f>
        <v>0</v>
      </c>
      <c r="Q46" s="1224">
        <f>'Prod_energy_best monthly'!H20</f>
        <v>0</v>
      </c>
      <c r="R46" s="1224">
        <f>'Prod_energy_best monthly'!I20</f>
        <v>0</v>
      </c>
      <c r="S46" s="1225"/>
    </row>
    <row r="47" spans="1:19" s="520" customFormat="1" ht="54" customHeight="1">
      <c r="A47" s="196"/>
      <c r="B47" s="196"/>
      <c r="C47" s="196"/>
      <c r="D47" s="196"/>
      <c r="E47" s="196"/>
      <c r="F47" s="196"/>
      <c r="G47" s="196"/>
      <c r="H47" s="196"/>
      <c r="I47" s="196"/>
      <c r="J47" s="196"/>
      <c r="K47" s="232">
        <v>7.2</v>
      </c>
      <c r="L47" s="259" t="s">
        <v>245</v>
      </c>
      <c r="M47" s="1204" t="s">
        <v>40</v>
      </c>
      <c r="N47" s="1121" t="e">
        <f>N44/N46</f>
        <v>#DIV/0!</v>
      </c>
      <c r="O47" s="1121" t="e">
        <f>O44/O46</f>
        <v>#DIV/0!</v>
      </c>
      <c r="P47" s="1121" t="e">
        <f>P44/P46</f>
        <v>#DIV/0!</v>
      </c>
      <c r="Q47" s="1121" t="e">
        <f>Q44/Q46</f>
        <v>#DIV/0!</v>
      </c>
      <c r="R47" s="1121" t="e">
        <f>R44/R46</f>
        <v>#DIV/0!</v>
      </c>
      <c r="S47" s="529"/>
    </row>
    <row r="48" spans="1:19" s="520" customFormat="1" ht="17.25" customHeight="1">
      <c r="A48" s="196"/>
      <c r="B48" s="196"/>
      <c r="C48" s="196"/>
      <c r="D48" s="196"/>
      <c r="E48" s="196"/>
      <c r="F48" s="196"/>
      <c r="G48" s="196"/>
      <c r="H48" s="196"/>
      <c r="I48" s="196"/>
      <c r="J48" s="196"/>
      <c r="K48" s="232"/>
      <c r="L48" s="259"/>
      <c r="M48" s="1220"/>
      <c r="N48" s="1226"/>
      <c r="O48" s="1226"/>
      <c r="P48" s="1226"/>
      <c r="Q48" s="1226"/>
      <c r="R48" s="1226"/>
      <c r="S48" s="1227"/>
    </row>
    <row r="49" spans="1:19" ht="33" customHeight="1">
      <c r="A49" s="64"/>
      <c r="B49" s="64"/>
      <c r="C49" s="64"/>
      <c r="D49" s="64"/>
      <c r="E49" s="64"/>
      <c r="F49" s="64"/>
      <c r="G49" s="64"/>
      <c r="H49" s="64"/>
      <c r="I49" s="64"/>
      <c r="J49" s="64"/>
      <c r="K49" s="1201">
        <v>7.3</v>
      </c>
      <c r="L49" s="106" t="s">
        <v>170</v>
      </c>
      <c r="M49" s="1204" t="s">
        <v>40</v>
      </c>
      <c r="N49" s="1228">
        <v>0.04</v>
      </c>
      <c r="O49" s="1228">
        <v>0.04</v>
      </c>
      <c r="P49" s="1228">
        <v>0.04</v>
      </c>
      <c r="Q49" s="1228">
        <v>0.04</v>
      </c>
      <c r="R49" s="1228">
        <v>0.04</v>
      </c>
      <c r="S49" s="523"/>
    </row>
    <row r="50" spans="1:19" ht="33" customHeight="1">
      <c r="A50" s="64"/>
      <c r="B50" s="64"/>
      <c r="C50" s="64"/>
      <c r="D50" s="64"/>
      <c r="E50" s="64"/>
      <c r="F50" s="64"/>
      <c r="G50" s="64"/>
      <c r="H50" s="64"/>
      <c r="I50" s="64"/>
      <c r="J50" s="64"/>
      <c r="K50" s="256">
        <v>8</v>
      </c>
      <c r="L50" s="515" t="s">
        <v>246</v>
      </c>
      <c r="M50" s="1204"/>
      <c r="N50" s="509"/>
      <c r="O50" s="509"/>
      <c r="P50" s="509"/>
      <c r="Q50" s="509"/>
      <c r="R50" s="531"/>
      <c r="S50" s="523"/>
    </row>
    <row r="51" spans="1:19" ht="60" customHeight="1" thickBot="1">
      <c r="A51" s="64"/>
      <c r="B51" s="64"/>
      <c r="C51" s="64"/>
      <c r="D51" s="64"/>
      <c r="E51" s="64"/>
      <c r="F51" s="64"/>
      <c r="G51" s="64"/>
      <c r="H51" s="64"/>
      <c r="I51" s="64"/>
      <c r="J51" s="64"/>
      <c r="K51" s="1201">
        <v>8.1</v>
      </c>
      <c r="L51" s="260" t="s">
        <v>1015</v>
      </c>
      <c r="M51" s="1204" t="s">
        <v>40</v>
      </c>
      <c r="N51" s="1121" t="e">
        <f>MIN(N47,N49)</f>
        <v>#DIV/0!</v>
      </c>
      <c r="O51" s="1121" t="e">
        <f t="shared" ref="O51:R51" si="0">MIN(O47,O49)</f>
        <v>#DIV/0!</v>
      </c>
      <c r="P51" s="1121" t="e">
        <f t="shared" si="0"/>
        <v>#DIV/0!</v>
      </c>
      <c r="Q51" s="1121" t="e">
        <f t="shared" si="0"/>
        <v>#DIV/0!</v>
      </c>
      <c r="R51" s="1121" t="e">
        <f t="shared" si="0"/>
        <v>#DIV/0!</v>
      </c>
      <c r="S51" s="1229"/>
    </row>
    <row r="52" spans="1:19" s="520" customFormat="1" ht="68.25" customHeight="1">
      <c r="A52" s="196"/>
      <c r="B52" s="196"/>
      <c r="C52" s="196"/>
      <c r="D52" s="196"/>
      <c r="E52" s="196"/>
      <c r="F52" s="196"/>
      <c r="G52" s="196"/>
      <c r="H52" s="196"/>
      <c r="I52" s="196"/>
      <c r="J52" s="196"/>
      <c r="K52" s="232">
        <v>8.1999999999999993</v>
      </c>
      <c r="L52" s="259" t="s">
        <v>1016</v>
      </c>
      <c r="M52" s="1204" t="s">
        <v>40</v>
      </c>
      <c r="N52" s="531"/>
      <c r="O52" s="531"/>
      <c r="P52" s="531"/>
      <c r="Q52" s="531"/>
      <c r="R52" s="1230" t="e">
        <f>R51-N51</f>
        <v>#DIV/0!</v>
      </c>
      <c r="S52" s="529"/>
    </row>
    <row r="53" spans="1:19" s="520" customFormat="1" ht="53.25" customHeight="1" thickBot="1">
      <c r="A53" s="196"/>
      <c r="B53" s="196"/>
      <c r="C53" s="196"/>
      <c r="D53" s="196"/>
      <c r="E53" s="196"/>
      <c r="F53" s="196"/>
      <c r="G53" s="196"/>
      <c r="H53" s="196"/>
      <c r="I53" s="196"/>
      <c r="J53" s="196"/>
      <c r="K53" s="262">
        <v>8.3000000000000007</v>
      </c>
      <c r="L53" s="882" t="s">
        <v>1017</v>
      </c>
      <c r="M53" s="1231" t="s">
        <v>40</v>
      </c>
      <c r="N53" s="1232"/>
      <c r="O53" s="1232"/>
      <c r="P53" s="1232"/>
      <c r="Q53" s="1232"/>
      <c r="R53" s="1233" t="e">
        <f>R52</f>
        <v>#DIV/0!</v>
      </c>
      <c r="S53" s="1229"/>
    </row>
    <row r="55" spans="1:19" ht="15.75">
      <c r="K55" s="532"/>
      <c r="L55" s="533"/>
      <c r="M55" s="532"/>
      <c r="N55" s="533"/>
      <c r="O55" s="533"/>
      <c r="P55" s="533"/>
      <c r="Q55" s="533"/>
      <c r="R55" s="533"/>
      <c r="S55" s="517"/>
    </row>
  </sheetData>
  <customSheetViews>
    <customSheetView guid="{5D90FF31-AD5C-4A69-A320-8978B095DFD4}" scale="85" topLeftCell="B49">
      <selection activeCell="R41" sqref="R41:S41"/>
      <pageMargins left="0.7" right="0.7" top="0.75" bottom="0.75" header="0.3" footer="0.3"/>
      <pageSetup orientation="portrait" verticalDpi="0" r:id="rId1"/>
    </customSheetView>
  </customSheetViews>
  <mergeCells count="15">
    <mergeCell ref="B39:G39"/>
    <mergeCell ref="P11:P12"/>
    <mergeCell ref="C36:I36"/>
    <mergeCell ref="O5:P5"/>
    <mergeCell ref="R11:R12"/>
    <mergeCell ref="K20:K21"/>
    <mergeCell ref="M20:M21"/>
    <mergeCell ref="N20:N21"/>
    <mergeCell ref="O20:O21"/>
    <mergeCell ref="P20:P21"/>
    <mergeCell ref="R20:R21"/>
    <mergeCell ref="K11:K12"/>
    <mergeCell ref="M11:M12"/>
    <mergeCell ref="N11:N12"/>
    <mergeCell ref="O11:O12"/>
  </mergeCells>
  <dataValidations disablePrompts="1" count="1">
    <dataValidation operator="greaterThanOrEqual" allowBlank="1" showInputMessage="1" showErrorMessage="1" error="Entor Positive values" sqref="Q5"/>
  </dataValidations>
  <pageMargins left="0.7" right="0.7" top="0.75" bottom="0.75" header="0.3" footer="0.3"/>
  <pageSetup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S39"/>
  <sheetViews>
    <sheetView zoomScale="77" zoomScaleNormal="77" workbookViewId="0">
      <selection activeCell="S15" sqref="S15"/>
    </sheetView>
  </sheetViews>
  <sheetFormatPr defaultColWidth="9.140625" defaultRowHeight="15"/>
  <cols>
    <col min="1" max="1" width="6.140625" style="492" customWidth="1"/>
    <col min="2" max="2" width="8.28515625" style="490" customWidth="1"/>
    <col min="3" max="3" width="11.85546875" style="491" customWidth="1"/>
    <col min="4" max="8" width="9.140625" style="492"/>
    <col min="9" max="9" width="11.28515625" style="492" customWidth="1"/>
    <col min="10" max="10" width="6.28515625" style="492" customWidth="1"/>
    <col min="11" max="11" width="9.140625" style="491"/>
    <col min="12" max="12" width="29" style="492" customWidth="1"/>
    <col min="13" max="13" width="11.5703125" style="491" customWidth="1"/>
    <col min="14" max="18" width="15.7109375" style="492" customWidth="1"/>
    <col min="19" max="19" width="29.7109375" style="492" customWidth="1"/>
    <col min="20" max="16384" width="9.140625" style="492"/>
  </cols>
  <sheetData>
    <row r="2" spans="2:19" ht="16.5">
      <c r="B2" s="814"/>
      <c r="C2" s="815"/>
      <c r="D2" s="816"/>
      <c r="E2" s="816"/>
      <c r="F2" s="816"/>
      <c r="G2" s="816"/>
      <c r="H2" s="816"/>
      <c r="I2" s="816"/>
      <c r="J2" s="816"/>
      <c r="K2" s="817"/>
      <c r="L2" s="818"/>
      <c r="M2" s="815"/>
      <c r="N2" s="494"/>
      <c r="P2" s="494"/>
      <c r="R2" s="494"/>
      <c r="S2" s="493"/>
    </row>
    <row r="3" spans="2:19" ht="33.75" customHeight="1">
      <c r="B3" s="819"/>
      <c r="C3" s="1433" t="s">
        <v>264</v>
      </c>
      <c r="D3" s="1433"/>
      <c r="E3" s="1433"/>
      <c r="F3" s="1433"/>
      <c r="G3" s="1433"/>
      <c r="H3" s="1433"/>
      <c r="I3" s="1433"/>
      <c r="J3" s="1433"/>
      <c r="K3" s="1433"/>
      <c r="L3" s="1433"/>
      <c r="M3" s="820"/>
      <c r="N3" s="495"/>
      <c r="O3" s="495"/>
      <c r="P3" s="495"/>
      <c r="Q3" s="495"/>
      <c r="R3" s="496"/>
      <c r="S3" s="494"/>
    </row>
    <row r="4" spans="2:19" ht="19.5" thickBot="1">
      <c r="B4" s="819"/>
      <c r="C4" s="821"/>
      <c r="D4" s="822"/>
      <c r="E4" s="822"/>
      <c r="F4" s="822"/>
      <c r="G4" s="822"/>
      <c r="H4" s="822"/>
      <c r="I4" s="822"/>
      <c r="J4" s="816"/>
      <c r="K4" s="823"/>
      <c r="L4" s="824"/>
      <c r="M4" s="820"/>
      <c r="N4" s="497"/>
      <c r="O4" s="497"/>
      <c r="P4" s="497"/>
      <c r="Q4" s="497"/>
      <c r="R4" s="497"/>
      <c r="S4" s="498"/>
    </row>
    <row r="5" spans="2:19" ht="19.5" thickBot="1">
      <c r="B5" s="825"/>
      <c r="C5" s="826"/>
      <c r="D5" s="827"/>
      <c r="E5" s="827"/>
      <c r="F5" s="827"/>
      <c r="G5" s="827"/>
      <c r="H5" s="827"/>
      <c r="I5" s="828"/>
      <c r="J5" s="816"/>
      <c r="K5" s="829"/>
      <c r="L5" s="830" t="s">
        <v>967</v>
      </c>
      <c r="M5" s="831"/>
      <c r="N5" s="878"/>
      <c r="O5" s="878"/>
      <c r="P5" s="878"/>
      <c r="Q5" s="878"/>
      <c r="R5" s="878"/>
      <c r="S5" s="879"/>
    </row>
    <row r="6" spans="2:19" s="499" customFormat="1" ht="52.5" customHeight="1">
      <c r="B6" s="832">
        <v>1</v>
      </c>
      <c r="C6" s="1434" t="s">
        <v>192</v>
      </c>
      <c r="D6" s="1434"/>
      <c r="E6" s="1434"/>
      <c r="F6" s="1434"/>
      <c r="G6" s="1434"/>
      <c r="H6" s="1434"/>
      <c r="I6" s="1435"/>
      <c r="J6" s="833"/>
      <c r="K6" s="263" t="s">
        <v>0</v>
      </c>
      <c r="L6" s="834" t="s">
        <v>36</v>
      </c>
      <c r="M6" s="834" t="s">
        <v>37</v>
      </c>
      <c r="N6" s="227" t="s">
        <v>931</v>
      </c>
      <c r="O6" s="1377" t="s">
        <v>932</v>
      </c>
      <c r="P6" s="1378"/>
      <c r="Q6" s="1278" t="s">
        <v>1030</v>
      </c>
      <c r="R6" s="1279" t="s">
        <v>1031</v>
      </c>
      <c r="S6" s="880" t="s">
        <v>100</v>
      </c>
    </row>
    <row r="7" spans="2:19" ht="15.75">
      <c r="B7" s="835"/>
      <c r="C7" s="836" t="s">
        <v>274</v>
      </c>
      <c r="D7" s="805"/>
      <c r="E7" s="805"/>
      <c r="F7" s="805"/>
      <c r="G7" s="805"/>
      <c r="H7" s="805"/>
      <c r="I7" s="837"/>
      <c r="J7" s="838"/>
      <c r="K7" s="839"/>
      <c r="L7" s="264"/>
      <c r="M7" s="840"/>
      <c r="N7" s="227" t="s">
        <v>43</v>
      </c>
      <c r="O7" s="1316" t="s">
        <v>886</v>
      </c>
      <c r="P7" s="1316" t="s">
        <v>887</v>
      </c>
      <c r="Q7" s="1317" t="s">
        <v>1025</v>
      </c>
      <c r="R7" s="1318" t="s">
        <v>1026</v>
      </c>
      <c r="S7" s="881"/>
    </row>
    <row r="8" spans="2:19" ht="15.75">
      <c r="B8" s="835"/>
      <c r="C8" s="836" t="s">
        <v>273</v>
      </c>
      <c r="D8" s="805"/>
      <c r="E8" s="805"/>
      <c r="F8" s="805"/>
      <c r="G8" s="805"/>
      <c r="H8" s="805"/>
      <c r="I8" s="837"/>
      <c r="J8" s="838"/>
      <c r="K8" s="841"/>
      <c r="L8" s="842"/>
      <c r="M8" s="843"/>
      <c r="N8" s="500"/>
      <c r="O8" s="500"/>
      <c r="P8" s="500"/>
      <c r="Q8" s="500"/>
      <c r="R8" s="501"/>
      <c r="S8" s="502"/>
    </row>
    <row r="9" spans="2:19" ht="15.75">
      <c r="B9" s="844"/>
      <c r="C9" s="805" t="s">
        <v>272</v>
      </c>
      <c r="D9" s="805"/>
      <c r="E9" s="805"/>
      <c r="F9" s="805"/>
      <c r="G9" s="805"/>
      <c r="H9" s="805"/>
      <c r="I9" s="837"/>
      <c r="J9" s="838"/>
      <c r="K9" s="845">
        <v>1</v>
      </c>
      <c r="L9" s="846" t="s">
        <v>148</v>
      </c>
      <c r="M9" s="847" t="s">
        <v>10</v>
      </c>
      <c r="N9" s="877">
        <f>'Prod_energy_best monthly'!E20</f>
        <v>0</v>
      </c>
      <c r="O9" s="877">
        <f>'Prod_energy_best monthly'!F20</f>
        <v>0</v>
      </c>
      <c r="P9" s="877">
        <f>'Prod_energy_best monthly'!G20</f>
        <v>0</v>
      </c>
      <c r="Q9" s="877">
        <f>'Prod_energy_best monthly'!H20</f>
        <v>0</v>
      </c>
      <c r="R9" s="877">
        <f>'Prod_energy_best monthly'!I20</f>
        <v>0</v>
      </c>
      <c r="S9" s="503"/>
    </row>
    <row r="10" spans="2:19" ht="15.75">
      <c r="B10" s="844"/>
      <c r="C10" s="805"/>
      <c r="D10" s="805"/>
      <c r="E10" s="805"/>
      <c r="F10" s="805"/>
      <c r="G10" s="805"/>
      <c r="H10" s="805"/>
      <c r="I10" s="837"/>
      <c r="J10" s="838"/>
      <c r="K10" s="845"/>
      <c r="L10" s="846"/>
      <c r="M10" s="847"/>
      <c r="N10" s="504"/>
      <c r="O10" s="504"/>
      <c r="P10" s="504"/>
      <c r="Q10" s="504"/>
      <c r="R10" s="504"/>
      <c r="S10" s="503"/>
    </row>
    <row r="11" spans="2:19" ht="15.75">
      <c r="B11" s="835">
        <v>2</v>
      </c>
      <c r="C11" s="198" t="s">
        <v>265</v>
      </c>
      <c r="D11" s="805"/>
      <c r="E11" s="805"/>
      <c r="F11" s="805"/>
      <c r="G11" s="805"/>
      <c r="H11" s="805"/>
      <c r="I11" s="837"/>
      <c r="J11" s="838"/>
      <c r="K11" s="845">
        <v>2</v>
      </c>
      <c r="L11" s="846" t="s">
        <v>275</v>
      </c>
      <c r="M11" s="847"/>
      <c r="N11" s="504"/>
      <c r="O11" s="504"/>
      <c r="P11" s="504"/>
      <c r="Q11" s="504"/>
      <c r="R11" s="504"/>
      <c r="S11" s="503"/>
    </row>
    <row r="12" spans="2:19" ht="15.75">
      <c r="B12" s="844"/>
      <c r="C12" s="805" t="s">
        <v>968</v>
      </c>
      <c r="D12" s="805"/>
      <c r="E12" s="805"/>
      <c r="F12" s="805"/>
      <c r="G12" s="805"/>
      <c r="H12" s="805"/>
      <c r="I12" s="837"/>
      <c r="J12" s="816"/>
      <c r="K12" s="266">
        <v>2.1</v>
      </c>
      <c r="L12" s="848" t="s">
        <v>158</v>
      </c>
      <c r="M12" s="847" t="s">
        <v>10</v>
      </c>
      <c r="N12" s="505"/>
      <c r="O12" s="505"/>
      <c r="P12" s="505"/>
      <c r="Q12" s="505"/>
      <c r="R12" s="506"/>
      <c r="S12" s="502"/>
    </row>
    <row r="13" spans="2:19" ht="15.75">
      <c r="B13" s="844"/>
      <c r="C13" s="805" t="s">
        <v>969</v>
      </c>
      <c r="D13" s="805"/>
      <c r="E13" s="805"/>
      <c r="F13" s="805"/>
      <c r="G13" s="805"/>
      <c r="H13" s="805"/>
      <c r="I13" s="837"/>
      <c r="J13" s="816"/>
      <c r="K13" s="849"/>
      <c r="L13" s="850"/>
      <c r="M13" s="851"/>
      <c r="N13" s="494"/>
      <c r="O13" s="494"/>
      <c r="P13" s="494"/>
      <c r="Q13" s="494"/>
      <c r="R13" s="494"/>
      <c r="S13" s="502"/>
    </row>
    <row r="14" spans="2:19" ht="15.75">
      <c r="B14" s="835"/>
      <c r="C14" s="836"/>
      <c r="D14" s="805"/>
      <c r="E14" s="805"/>
      <c r="F14" s="805"/>
      <c r="G14" s="805"/>
      <c r="H14" s="805"/>
      <c r="I14" s="837"/>
      <c r="J14" s="816"/>
      <c r="K14" s="852">
        <v>3</v>
      </c>
      <c r="L14" s="853" t="s">
        <v>291</v>
      </c>
      <c r="M14" s="854"/>
      <c r="N14" s="507"/>
      <c r="O14" s="507"/>
      <c r="P14" s="507"/>
      <c r="Q14" s="507"/>
      <c r="R14" s="508"/>
      <c r="S14" s="502"/>
    </row>
    <row r="15" spans="2:19" ht="15.75">
      <c r="B15" s="844"/>
      <c r="C15" s="855"/>
      <c r="D15" s="805"/>
      <c r="E15" s="805"/>
      <c r="F15" s="805"/>
      <c r="G15" s="805"/>
      <c r="H15" s="805"/>
      <c r="I15" s="837"/>
      <c r="J15" s="816"/>
      <c r="K15" s="1436">
        <v>3.1</v>
      </c>
      <c r="L15" s="106" t="s">
        <v>276</v>
      </c>
      <c r="M15" s="1437" t="s">
        <v>278</v>
      </c>
      <c r="N15" s="505"/>
      <c r="O15" s="505"/>
      <c r="P15" s="505"/>
      <c r="Q15" s="505"/>
      <c r="R15" s="506"/>
      <c r="S15" s="502"/>
    </row>
    <row r="16" spans="2:19" ht="15.75">
      <c r="B16" s="844">
        <v>3</v>
      </c>
      <c r="C16" s="198" t="s">
        <v>190</v>
      </c>
      <c r="D16" s="805"/>
      <c r="E16" s="805"/>
      <c r="F16" s="805"/>
      <c r="G16" s="805"/>
      <c r="H16" s="805"/>
      <c r="I16" s="837"/>
      <c r="J16" s="816"/>
      <c r="K16" s="1436"/>
      <c r="L16" s="106" t="s">
        <v>277</v>
      </c>
      <c r="M16" s="1437"/>
      <c r="N16" s="500"/>
      <c r="O16" s="500"/>
      <c r="P16" s="500"/>
      <c r="Q16" s="500"/>
      <c r="R16" s="501"/>
      <c r="S16" s="502"/>
    </row>
    <row r="17" spans="2:19" ht="15.75">
      <c r="B17" s="844"/>
      <c r="C17" s="198"/>
      <c r="D17" s="805"/>
      <c r="E17" s="805"/>
      <c r="F17" s="805"/>
      <c r="G17" s="805"/>
      <c r="H17" s="805"/>
      <c r="I17" s="837"/>
      <c r="J17" s="816"/>
      <c r="K17" s="1436">
        <v>3.2</v>
      </c>
      <c r="L17" s="106" t="s">
        <v>279</v>
      </c>
      <c r="M17" s="1437" t="s">
        <v>278</v>
      </c>
      <c r="N17" s="505"/>
      <c r="O17" s="505"/>
      <c r="P17" s="505"/>
      <c r="Q17" s="505"/>
      <c r="R17" s="506"/>
      <c r="S17" s="502"/>
    </row>
    <row r="18" spans="2:19" ht="15.75">
      <c r="B18" s="856">
        <v>3.1</v>
      </c>
      <c r="C18" s="836" t="s">
        <v>306</v>
      </c>
      <c r="D18" s="855"/>
      <c r="E18" s="857"/>
      <c r="F18" s="857"/>
      <c r="G18" s="805"/>
      <c r="H18" s="805"/>
      <c r="I18" s="837"/>
      <c r="J18" s="816"/>
      <c r="K18" s="1436"/>
      <c r="L18" s="106" t="s">
        <v>277</v>
      </c>
      <c r="M18" s="1437"/>
      <c r="N18" s="507"/>
      <c r="O18" s="507"/>
      <c r="P18" s="507"/>
      <c r="Q18" s="507"/>
      <c r="R18" s="508"/>
      <c r="S18" s="502"/>
    </row>
    <row r="19" spans="2:19" ht="15.75">
      <c r="B19" s="858"/>
      <c r="C19" s="859" t="s">
        <v>307</v>
      </c>
      <c r="D19" s="805"/>
      <c r="E19" s="805"/>
      <c r="F19" s="805"/>
      <c r="G19" s="805"/>
      <c r="H19" s="805"/>
      <c r="I19" s="837"/>
      <c r="J19" s="816"/>
      <c r="K19" s="256">
        <v>4</v>
      </c>
      <c r="L19" s="229" t="s">
        <v>292</v>
      </c>
      <c r="M19" s="860"/>
      <c r="N19" s="507"/>
      <c r="O19" s="507"/>
      <c r="P19" s="507"/>
      <c r="Q19" s="507"/>
      <c r="R19" s="508"/>
      <c r="S19" s="502"/>
    </row>
    <row r="20" spans="2:19" s="511" customFormat="1" ht="15.75">
      <c r="B20" s="858"/>
      <c r="C20" s="805"/>
      <c r="D20" s="805"/>
      <c r="E20" s="805"/>
      <c r="F20" s="805"/>
      <c r="G20" s="805"/>
      <c r="H20" s="805"/>
      <c r="I20" s="837"/>
      <c r="J20" s="816"/>
      <c r="K20" s="256">
        <v>4.0999999999999996</v>
      </c>
      <c r="L20" s="229" t="s">
        <v>280</v>
      </c>
      <c r="M20" s="860"/>
      <c r="N20" s="507"/>
      <c r="O20" s="507"/>
      <c r="P20" s="507"/>
      <c r="Q20" s="507"/>
      <c r="R20" s="508"/>
      <c r="S20" s="510"/>
    </row>
    <row r="21" spans="2:19" ht="15.75">
      <c r="B21" s="804"/>
      <c r="C21" s="836" t="s">
        <v>266</v>
      </c>
      <c r="D21" s="805"/>
      <c r="E21" s="805"/>
      <c r="F21" s="805"/>
      <c r="G21" s="805"/>
      <c r="H21" s="857"/>
      <c r="I21" s="837"/>
      <c r="J21" s="816"/>
      <c r="K21" s="488" t="s">
        <v>27</v>
      </c>
      <c r="L21" s="106" t="s">
        <v>281</v>
      </c>
      <c r="M21" s="860" t="s">
        <v>11</v>
      </c>
      <c r="N21" s="505"/>
      <c r="O21" s="505"/>
      <c r="P21" s="505"/>
      <c r="Q21" s="505"/>
      <c r="R21" s="506"/>
      <c r="S21" s="502"/>
    </row>
    <row r="22" spans="2:19" ht="15.75">
      <c r="B22" s="804"/>
      <c r="C22" s="836" t="s">
        <v>267</v>
      </c>
      <c r="D22" s="805"/>
      <c r="E22" s="805"/>
      <c r="F22" s="805"/>
      <c r="G22" s="805"/>
      <c r="H22" s="805"/>
      <c r="I22" s="837"/>
      <c r="J22" s="816"/>
      <c r="K22" s="488" t="s">
        <v>29</v>
      </c>
      <c r="L22" s="106" t="s">
        <v>282</v>
      </c>
      <c r="M22" s="860" t="s">
        <v>11</v>
      </c>
      <c r="N22" s="505"/>
      <c r="O22" s="505"/>
      <c r="P22" s="505"/>
      <c r="Q22" s="505"/>
      <c r="R22" s="506"/>
      <c r="S22" s="502"/>
    </row>
    <row r="23" spans="2:19" ht="15.75">
      <c r="B23" s="804"/>
      <c r="C23" s="836" t="s">
        <v>268</v>
      </c>
      <c r="D23" s="805"/>
      <c r="E23" s="805"/>
      <c r="F23" s="805"/>
      <c r="G23" s="805"/>
      <c r="H23" s="805"/>
      <c r="I23" s="837"/>
      <c r="J23" s="816"/>
      <c r="K23" s="488" t="s">
        <v>207</v>
      </c>
      <c r="L23" s="106" t="s">
        <v>283</v>
      </c>
      <c r="M23" s="860" t="s">
        <v>11</v>
      </c>
      <c r="N23" s="512"/>
      <c r="O23" s="505"/>
      <c r="P23" s="505"/>
      <c r="Q23" s="505"/>
      <c r="R23" s="506"/>
      <c r="S23" s="502"/>
    </row>
    <row r="24" spans="2:19" ht="15.75">
      <c r="B24" s="804"/>
      <c r="C24" s="836" t="s">
        <v>269</v>
      </c>
      <c r="D24" s="805"/>
      <c r="E24" s="805"/>
      <c r="F24" s="805"/>
      <c r="G24" s="805"/>
      <c r="H24" s="805"/>
      <c r="I24" s="837"/>
      <c r="J24" s="816"/>
      <c r="K24" s="488" t="s">
        <v>86</v>
      </c>
      <c r="L24" s="106" t="s">
        <v>284</v>
      </c>
      <c r="M24" s="860" t="s">
        <v>11</v>
      </c>
      <c r="N24" s="505"/>
      <c r="O24" s="505"/>
      <c r="P24" s="505"/>
      <c r="Q24" s="505"/>
      <c r="R24" s="506"/>
      <c r="S24" s="502"/>
    </row>
    <row r="25" spans="2:19" ht="15.75">
      <c r="B25" s="804"/>
      <c r="C25" s="836" t="s">
        <v>270</v>
      </c>
      <c r="D25" s="836"/>
      <c r="E25" s="857"/>
      <c r="F25" s="805"/>
      <c r="G25" s="805"/>
      <c r="H25" s="805"/>
      <c r="I25" s="861"/>
      <c r="J25" s="816"/>
      <c r="K25" s="256">
        <v>4.2</v>
      </c>
      <c r="L25" s="229" t="s">
        <v>285</v>
      </c>
      <c r="M25" s="860"/>
      <c r="N25" s="500"/>
      <c r="O25" s="500"/>
      <c r="P25" s="500"/>
      <c r="Q25" s="500"/>
      <c r="R25" s="500"/>
      <c r="S25" s="502"/>
    </row>
    <row r="26" spans="2:19" ht="15.75">
      <c r="B26" s="844"/>
      <c r="C26" s="836" t="s">
        <v>271</v>
      </c>
      <c r="D26" s="805"/>
      <c r="E26" s="805"/>
      <c r="F26" s="805"/>
      <c r="G26" s="805"/>
      <c r="H26" s="805"/>
      <c r="I26" s="837"/>
      <c r="J26" s="816"/>
      <c r="K26" s="488" t="s">
        <v>27</v>
      </c>
      <c r="L26" s="106" t="s">
        <v>286</v>
      </c>
      <c r="M26" s="860" t="s">
        <v>11</v>
      </c>
      <c r="N26" s="505"/>
      <c r="O26" s="505"/>
      <c r="P26" s="505"/>
      <c r="Q26" s="505"/>
      <c r="R26" s="505"/>
      <c r="S26" s="502"/>
    </row>
    <row r="27" spans="2:19" ht="15.75">
      <c r="B27" s="814"/>
      <c r="C27" s="815"/>
      <c r="D27" s="805"/>
      <c r="E27" s="805"/>
      <c r="F27" s="805"/>
      <c r="G27" s="805"/>
      <c r="H27" s="805"/>
      <c r="I27" s="837"/>
      <c r="J27" s="816"/>
      <c r="K27" s="488" t="s">
        <v>29</v>
      </c>
      <c r="L27" s="106" t="s">
        <v>287</v>
      </c>
      <c r="M27" s="860" t="s">
        <v>11</v>
      </c>
      <c r="N27" s="505"/>
      <c r="O27" s="505"/>
      <c r="P27" s="505"/>
      <c r="Q27" s="505"/>
      <c r="R27" s="506"/>
      <c r="S27" s="502"/>
    </row>
    <row r="28" spans="2:19" ht="15.75">
      <c r="B28" s="835">
        <v>3.2</v>
      </c>
      <c r="C28" s="859" t="s">
        <v>308</v>
      </c>
      <c r="D28" s="857"/>
      <c r="E28" s="857"/>
      <c r="F28" s="857"/>
      <c r="G28" s="857"/>
      <c r="H28" s="857"/>
      <c r="I28" s="862"/>
      <c r="J28" s="816"/>
      <c r="K28" s="488" t="s">
        <v>207</v>
      </c>
      <c r="L28" s="106" t="s">
        <v>288</v>
      </c>
      <c r="M28" s="860" t="s">
        <v>11</v>
      </c>
      <c r="N28" s="505"/>
      <c r="O28" s="505"/>
      <c r="P28" s="505"/>
      <c r="Q28" s="505"/>
      <c r="R28" s="506"/>
      <c r="S28" s="502"/>
    </row>
    <row r="29" spans="2:19" ht="15.75">
      <c r="B29" s="844"/>
      <c r="C29" s="863" t="s">
        <v>309</v>
      </c>
      <c r="D29" s="805"/>
      <c r="E29" s="805"/>
      <c r="F29" s="805"/>
      <c r="G29" s="805"/>
      <c r="H29" s="805"/>
      <c r="I29" s="837"/>
      <c r="J29" s="816"/>
      <c r="K29" s="488" t="s">
        <v>86</v>
      </c>
      <c r="L29" s="106" t="s">
        <v>289</v>
      </c>
      <c r="M29" s="860" t="s">
        <v>11</v>
      </c>
      <c r="N29" s="505"/>
      <c r="O29" s="505"/>
      <c r="P29" s="505"/>
      <c r="Q29" s="505"/>
      <c r="R29" s="506"/>
      <c r="S29" s="502"/>
    </row>
    <row r="30" spans="2:19" s="511" customFormat="1" ht="20.25" customHeight="1">
      <c r="B30" s="864"/>
      <c r="C30" s="865"/>
      <c r="D30" s="865"/>
      <c r="E30" s="865"/>
      <c r="F30" s="865"/>
      <c r="G30" s="865"/>
      <c r="H30" s="865"/>
      <c r="I30" s="866"/>
      <c r="J30" s="865"/>
      <c r="K30" s="488" t="s">
        <v>293</v>
      </c>
      <c r="L30" s="106" t="s">
        <v>290</v>
      </c>
      <c r="M30" s="860" t="s">
        <v>11</v>
      </c>
      <c r="N30" s="505"/>
      <c r="O30" s="505"/>
      <c r="P30" s="505"/>
      <c r="Q30" s="505"/>
      <c r="R30" s="506"/>
      <c r="S30" s="510"/>
    </row>
    <row r="31" spans="2:19" s="511" customFormat="1" ht="20.25" customHeight="1">
      <c r="B31" s="864"/>
      <c r="C31" s="1438" t="s">
        <v>296</v>
      </c>
      <c r="D31" s="1438"/>
      <c r="E31" s="1438"/>
      <c r="F31" s="1438"/>
      <c r="G31" s="1438"/>
      <c r="H31" s="1438"/>
      <c r="I31" s="1439"/>
      <c r="J31" s="865"/>
      <c r="K31" s="256">
        <v>5</v>
      </c>
      <c r="L31" s="229" t="s">
        <v>305</v>
      </c>
      <c r="M31" s="860"/>
      <c r="N31" s="505"/>
      <c r="O31" s="505"/>
      <c r="P31" s="505"/>
      <c r="Q31" s="505"/>
      <c r="R31" s="506"/>
      <c r="S31" s="510"/>
    </row>
    <row r="32" spans="2:19" s="511" customFormat="1" ht="48" customHeight="1">
      <c r="B32" s="864"/>
      <c r="C32" s="1438" t="s">
        <v>295</v>
      </c>
      <c r="D32" s="1438"/>
      <c r="E32" s="1438"/>
      <c r="F32" s="1438"/>
      <c r="G32" s="1438"/>
      <c r="H32" s="1438"/>
      <c r="I32" s="1439"/>
      <c r="J32" s="865"/>
      <c r="K32" s="266">
        <v>5.0999999999999996</v>
      </c>
      <c r="L32" s="106" t="s">
        <v>304</v>
      </c>
      <c r="M32" s="267" t="s">
        <v>297</v>
      </c>
      <c r="N32" s="268">
        <f>N12*N15/10^3</f>
        <v>0</v>
      </c>
      <c r="O32" s="268">
        <f>O12*O15/10^3</f>
        <v>0</v>
      </c>
      <c r="P32" s="268">
        <f>P12*P15/10^3</f>
        <v>0</v>
      </c>
      <c r="Q32" s="268">
        <f>Q12*Q15/10^3</f>
        <v>0</v>
      </c>
      <c r="R32" s="268">
        <f>R12*R15/10^3</f>
        <v>0</v>
      </c>
      <c r="S32" s="269" t="s">
        <v>299</v>
      </c>
    </row>
    <row r="33" spans="2:19" s="511" customFormat="1" ht="46.5" customHeight="1">
      <c r="B33" s="864"/>
      <c r="C33" s="867"/>
      <c r="D33" s="867"/>
      <c r="E33" s="867"/>
      <c r="F33" s="867"/>
      <c r="G33" s="867"/>
      <c r="H33" s="867"/>
      <c r="I33" s="868"/>
      <c r="J33" s="865"/>
      <c r="K33" s="266">
        <v>5.2</v>
      </c>
      <c r="L33" s="233" t="s">
        <v>303</v>
      </c>
      <c r="M33" s="270" t="s">
        <v>40</v>
      </c>
      <c r="N33" s="271" t="e">
        <f>N32/N9</f>
        <v>#DIV/0!</v>
      </c>
      <c r="O33" s="271" t="e">
        <f>O32/O9</f>
        <v>#DIV/0!</v>
      </c>
      <c r="P33" s="271" t="e">
        <f>P32/P9</f>
        <v>#DIV/0!</v>
      </c>
      <c r="Q33" s="271" t="e">
        <f>Q32/Q9</f>
        <v>#DIV/0!</v>
      </c>
      <c r="R33" s="271" t="e">
        <f>R32/R9</f>
        <v>#DIV/0!</v>
      </c>
      <c r="S33" s="272"/>
    </row>
    <row r="34" spans="2:19" s="511" customFormat="1" ht="35.25" customHeight="1" thickBot="1">
      <c r="B34" s="869"/>
      <c r="C34" s="870"/>
      <c r="D34" s="870"/>
      <c r="E34" s="870"/>
      <c r="F34" s="870"/>
      <c r="G34" s="870"/>
      <c r="H34" s="870"/>
      <c r="I34" s="871"/>
      <c r="J34" s="865"/>
      <c r="K34" s="256">
        <v>6</v>
      </c>
      <c r="L34" s="229" t="s">
        <v>300</v>
      </c>
      <c r="M34" s="273"/>
      <c r="N34" s="265"/>
      <c r="O34" s="265"/>
      <c r="P34" s="265"/>
      <c r="Q34" s="265"/>
      <c r="R34" s="274"/>
      <c r="S34" s="275"/>
    </row>
    <row r="35" spans="2:19" s="511" customFormat="1" ht="55.5" customHeight="1">
      <c r="B35" s="872"/>
      <c r="C35" s="873"/>
      <c r="D35" s="873"/>
      <c r="E35" s="873"/>
      <c r="F35" s="873"/>
      <c r="G35" s="873"/>
      <c r="H35" s="873"/>
      <c r="I35" s="873"/>
      <c r="J35" s="865"/>
      <c r="K35" s="276">
        <v>6.1</v>
      </c>
      <c r="L35" s="277" t="s">
        <v>301</v>
      </c>
      <c r="M35" s="273" t="s">
        <v>11</v>
      </c>
      <c r="N35" s="278" t="e">
        <f>92.5-((50*N24+630*(N23+9*N27))/N15)</f>
        <v>#DIV/0!</v>
      </c>
      <c r="O35" s="278" t="e">
        <f>92.5-((50*O24+630*(O23+9*O27))/O15)</f>
        <v>#DIV/0!</v>
      </c>
      <c r="P35" s="278" t="e">
        <f>92.5-((50*P24+630*(P23+9*P27))/P15)</f>
        <v>#DIV/0!</v>
      </c>
      <c r="Q35" s="280" t="e">
        <f>92.5-((50*Q24+630*(Q23+9*Q27))/Q15)</f>
        <v>#DIV/0!</v>
      </c>
      <c r="R35" s="278" t="e">
        <f>92.5-((50*R24+630*(R23+9*R27))/R15)</f>
        <v>#DIV/0!</v>
      </c>
      <c r="S35" s="281" t="s">
        <v>298</v>
      </c>
    </row>
    <row r="36" spans="2:19" s="511" customFormat="1" ht="18.75" customHeight="1">
      <c r="B36" s="872"/>
      <c r="C36" s="867"/>
      <c r="D36" s="867"/>
      <c r="E36" s="867"/>
      <c r="F36" s="867"/>
      <c r="G36" s="867"/>
      <c r="H36" s="867"/>
      <c r="I36" s="867"/>
      <c r="J36" s="865"/>
      <c r="K36" s="488"/>
      <c r="L36" s="233"/>
      <c r="M36" s="273"/>
      <c r="N36" s="282"/>
      <c r="O36" s="282"/>
      <c r="P36" s="282"/>
      <c r="Q36" s="279"/>
      <c r="R36" s="282"/>
      <c r="S36" s="283"/>
    </row>
    <row r="37" spans="2:19" s="511" customFormat="1" ht="57.75" customHeight="1">
      <c r="B37" s="872"/>
      <c r="C37" s="867"/>
      <c r="D37" s="867"/>
      <c r="E37" s="867"/>
      <c r="F37" s="867"/>
      <c r="G37" s="867"/>
      <c r="H37" s="867"/>
      <c r="I37" s="867"/>
      <c r="J37" s="865"/>
      <c r="K37" s="488">
        <v>7</v>
      </c>
      <c r="L37" s="284" t="s">
        <v>302</v>
      </c>
      <c r="M37" s="270" t="s">
        <v>40</v>
      </c>
      <c r="N37" s="285"/>
      <c r="O37" s="285"/>
      <c r="P37" s="285"/>
      <c r="Q37" s="285"/>
      <c r="R37" s="489" t="e">
        <f>R33*(N36-R35)/R35</f>
        <v>#DIV/0!</v>
      </c>
      <c r="S37" s="286" t="s">
        <v>970</v>
      </c>
    </row>
    <row r="38" spans="2:19" s="511" customFormat="1" ht="54.75" customHeight="1" thickBot="1">
      <c r="B38" s="874"/>
      <c r="C38" s="875"/>
      <c r="D38" s="875"/>
      <c r="E38" s="876"/>
      <c r="F38" s="875"/>
      <c r="G38" s="876"/>
      <c r="H38" s="876"/>
      <c r="I38" s="876"/>
      <c r="J38" s="865"/>
      <c r="K38" s="287">
        <v>10</v>
      </c>
      <c r="L38" s="288" t="s">
        <v>294</v>
      </c>
      <c r="M38" s="289" t="s">
        <v>40</v>
      </c>
      <c r="N38" s="290"/>
      <c r="O38" s="290"/>
      <c r="P38" s="290"/>
      <c r="Q38" s="290"/>
      <c r="R38" s="660" t="e">
        <f>R37</f>
        <v>#DIV/0!</v>
      </c>
      <c r="S38" s="291"/>
    </row>
    <row r="39" spans="2:19" ht="15.75">
      <c r="C39" s="513"/>
      <c r="D39" s="513"/>
      <c r="E39" s="514"/>
      <c r="F39" s="513"/>
      <c r="G39" s="513"/>
      <c r="H39" s="513"/>
      <c r="I39" s="513"/>
    </row>
  </sheetData>
  <sheetProtection password="CC60" sheet="1" objects="1" scenarios="1"/>
  <customSheetViews>
    <customSheetView guid="{5D90FF31-AD5C-4A69-A320-8978B095DFD4}" scale="77" topLeftCell="A38">
      <selection activeCell="R26" sqref="R26:S30"/>
      <pageMargins left="0.7" right="0.7" top="0.75" bottom="0.75" header="0.3" footer="0.3"/>
      <pageSetup orientation="portrait" verticalDpi="0" r:id="rId1"/>
    </customSheetView>
  </customSheetViews>
  <mergeCells count="9">
    <mergeCell ref="O6:P6"/>
    <mergeCell ref="C32:I32"/>
    <mergeCell ref="C31:I31"/>
    <mergeCell ref="C3:L3"/>
    <mergeCell ref="C6:I6"/>
    <mergeCell ref="K15:K16"/>
    <mergeCell ref="M15:M16"/>
    <mergeCell ref="K17:K18"/>
    <mergeCell ref="M17:M18"/>
  </mergeCells>
  <dataValidations count="1">
    <dataValidation operator="greaterThanOrEqual" allowBlank="1" showInputMessage="1" showErrorMessage="1" error="Entor Positive values" sqref="Q6"/>
  </dataValidations>
  <pageMargins left="0.7" right="0.7" top="0.75" bottom="0.75" header="0.3" footer="0.3"/>
  <pageSetup orientation="portrait"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AB128"/>
  <sheetViews>
    <sheetView workbookViewId="0">
      <selection activeCell="C2" sqref="C2"/>
    </sheetView>
  </sheetViews>
  <sheetFormatPr defaultRowHeight="15"/>
  <cols>
    <col min="20" max="20" width="10.28515625" customWidth="1"/>
    <col min="21" max="21" width="11.42578125" customWidth="1"/>
    <col min="22" max="22" width="11.140625" customWidth="1"/>
    <col min="27" max="27" width="10.28515625" customWidth="1"/>
  </cols>
  <sheetData>
    <row r="2" spans="2:28" ht="21">
      <c r="C2" s="123"/>
      <c r="L2" s="482"/>
      <c r="M2" s="482"/>
      <c r="N2" s="482"/>
      <c r="O2" s="482"/>
      <c r="P2" s="482"/>
      <c r="Q2" s="482"/>
      <c r="R2" s="483"/>
      <c r="S2" s="483"/>
    </row>
    <row r="4" spans="2:28" ht="18">
      <c r="C4" s="53" t="s">
        <v>620</v>
      </c>
      <c r="E4" s="23"/>
      <c r="F4" s="23"/>
      <c r="G4" s="23"/>
      <c r="H4" s="23"/>
      <c r="I4" s="23"/>
      <c r="J4" s="23"/>
      <c r="K4" s="23"/>
      <c r="L4" s="23"/>
      <c r="M4" s="23"/>
      <c r="N4" s="23"/>
      <c r="O4" s="23"/>
      <c r="P4" s="23"/>
      <c r="Q4" s="23"/>
      <c r="R4" s="23"/>
      <c r="S4" s="23"/>
      <c r="T4" s="23"/>
      <c r="U4" s="23"/>
      <c r="V4" s="23"/>
      <c r="W4" s="23"/>
      <c r="X4" s="23"/>
      <c r="Y4" s="23"/>
      <c r="Z4" s="23"/>
      <c r="AA4" s="23"/>
    </row>
    <row r="5" spans="2:28" ht="16.5">
      <c r="D5" s="23"/>
      <c r="E5" s="23"/>
      <c r="F5" s="23"/>
      <c r="G5" s="23"/>
      <c r="H5" s="23"/>
      <c r="I5" s="23"/>
      <c r="J5" s="23"/>
      <c r="K5" s="23"/>
      <c r="L5" s="54" t="s">
        <v>621</v>
      </c>
    </row>
    <row r="6" spans="2:28">
      <c r="D6" s="23"/>
      <c r="E6" s="23"/>
      <c r="F6" s="23"/>
      <c r="G6" s="23"/>
      <c r="H6" s="23"/>
      <c r="I6" s="23"/>
      <c r="J6" s="23"/>
      <c r="K6" s="23"/>
      <c r="L6" s="23"/>
      <c r="N6" s="23"/>
      <c r="P6" s="23"/>
      <c r="Q6" s="23"/>
      <c r="R6" s="23"/>
      <c r="S6" s="23"/>
      <c r="T6" s="23"/>
      <c r="AA6" s="55" t="s">
        <v>667</v>
      </c>
      <c r="AB6" s="55"/>
    </row>
    <row r="7" spans="2:28">
      <c r="D7" s="23"/>
      <c r="E7" s="23"/>
      <c r="F7" s="23"/>
      <c r="G7" s="23"/>
      <c r="H7" s="23"/>
      <c r="I7" s="23"/>
      <c r="J7" s="23"/>
      <c r="K7" s="23"/>
      <c r="L7" s="23"/>
      <c r="N7" s="23"/>
      <c r="P7" s="23"/>
      <c r="Q7" s="23"/>
      <c r="R7" s="23"/>
      <c r="S7" s="23"/>
      <c r="T7" s="23"/>
    </row>
    <row r="8" spans="2:28" ht="15.75" thickBot="1">
      <c r="N8" s="23" t="s">
        <v>622</v>
      </c>
    </row>
    <row r="9" spans="2:28">
      <c r="B9" s="24"/>
      <c r="C9" s="10"/>
      <c r="D9" s="41"/>
      <c r="E9" s="42" t="s">
        <v>32</v>
      </c>
      <c r="F9" s="26"/>
      <c r="G9" s="48"/>
      <c r="H9" s="42" t="s">
        <v>623</v>
      </c>
      <c r="J9" s="27"/>
      <c r="K9" s="16"/>
      <c r="L9" s="16"/>
      <c r="M9" s="16"/>
      <c r="N9" s="16"/>
      <c r="O9" s="16"/>
      <c r="P9" s="16"/>
      <c r="Q9" s="16"/>
      <c r="R9" s="16"/>
      <c r="S9" s="16"/>
      <c r="T9" s="16"/>
      <c r="U9" s="16"/>
      <c r="V9" s="16"/>
      <c r="W9" s="16"/>
      <c r="X9" s="16"/>
      <c r="Y9" s="16"/>
      <c r="Z9" s="28"/>
      <c r="AA9" s="10"/>
      <c r="AB9" s="10"/>
    </row>
    <row r="10" spans="2:28">
      <c r="B10" s="29" t="s">
        <v>36</v>
      </c>
      <c r="C10" s="26"/>
      <c r="D10" s="37"/>
      <c r="E10" s="43" t="s">
        <v>624</v>
      </c>
      <c r="F10" s="26"/>
      <c r="G10" s="49"/>
      <c r="H10" s="43" t="s">
        <v>625</v>
      </c>
      <c r="J10" s="20"/>
      <c r="K10" s="10"/>
      <c r="L10" s="10"/>
      <c r="M10" s="10"/>
      <c r="N10" s="13">
        <f>'Sd_Form 1'!$E$120/10</f>
        <v>0</v>
      </c>
      <c r="O10" s="19" t="s">
        <v>626</v>
      </c>
      <c r="P10" s="10"/>
      <c r="Q10" s="10"/>
      <c r="R10" s="30"/>
      <c r="S10" s="31"/>
      <c r="T10" s="31"/>
      <c r="U10" s="32"/>
      <c r="V10" s="10"/>
      <c r="W10" s="10"/>
      <c r="X10" s="10"/>
      <c r="Y10" s="10"/>
      <c r="Z10" s="17"/>
      <c r="AA10" s="10"/>
      <c r="AB10" s="10"/>
    </row>
    <row r="11" spans="2:28">
      <c r="B11" s="33"/>
      <c r="C11" s="10"/>
      <c r="D11" s="44"/>
      <c r="E11" s="45" t="s">
        <v>627</v>
      </c>
      <c r="F11" s="26"/>
      <c r="G11" s="50"/>
      <c r="H11" s="45" t="s">
        <v>628</v>
      </c>
      <c r="J11" s="20"/>
      <c r="K11" s="10"/>
      <c r="L11" s="10"/>
      <c r="M11" s="10"/>
      <c r="N11" s="13">
        <v>0</v>
      </c>
      <c r="O11" s="19" t="s">
        <v>10</v>
      </c>
      <c r="P11" s="10"/>
      <c r="Q11" s="10"/>
      <c r="R11" s="3"/>
      <c r="U11" s="4"/>
      <c r="V11" s="10"/>
      <c r="W11" s="10"/>
      <c r="X11" s="10"/>
      <c r="Y11" s="10"/>
      <c r="Z11" s="17"/>
      <c r="AA11" s="10"/>
      <c r="AB11" s="10"/>
    </row>
    <row r="12" spans="2:28">
      <c r="J12" s="20"/>
      <c r="K12" s="10"/>
      <c r="L12" s="10"/>
      <c r="M12" s="10"/>
      <c r="N12" s="10"/>
      <c r="O12" s="19"/>
      <c r="P12" s="10"/>
      <c r="Q12" s="10"/>
      <c r="R12" s="3"/>
      <c r="S12" s="122" t="s">
        <v>629</v>
      </c>
      <c r="T12" s="25" t="s">
        <v>630</v>
      </c>
      <c r="U12" s="4"/>
      <c r="V12" s="10"/>
      <c r="W12" s="10"/>
      <c r="X12" s="10"/>
      <c r="Y12" s="10"/>
      <c r="Z12" s="17"/>
      <c r="AA12" s="10"/>
      <c r="AB12" s="10"/>
    </row>
    <row r="13" spans="2:28">
      <c r="B13" s="24" t="s">
        <v>862</v>
      </c>
      <c r="C13" s="10"/>
      <c r="D13" s="115">
        <f>'Sd_Form 1'!E76*'Sd_Form 1'!E77</f>
        <v>0</v>
      </c>
      <c r="E13" s="46" t="s">
        <v>631</v>
      </c>
      <c r="F13" s="40"/>
      <c r="G13" s="13">
        <f>D13</f>
        <v>0</v>
      </c>
      <c r="H13" s="46" t="s">
        <v>631</v>
      </c>
      <c r="J13" s="20"/>
      <c r="K13" s="10"/>
      <c r="L13" s="10"/>
      <c r="M13" s="10"/>
      <c r="N13" s="13">
        <f>D13</f>
        <v>0</v>
      </c>
      <c r="O13" s="18" t="s">
        <v>10</v>
      </c>
      <c r="P13" s="10"/>
      <c r="Q13" s="10"/>
      <c r="R13" s="3"/>
      <c r="S13" s="10"/>
      <c r="T13" s="10"/>
      <c r="U13" s="4"/>
      <c r="V13" s="10"/>
      <c r="W13" s="10"/>
      <c r="X13" s="10"/>
      <c r="Y13" s="10"/>
      <c r="Z13" s="17"/>
      <c r="AA13" s="10"/>
      <c r="AB13" s="10"/>
    </row>
    <row r="14" spans="2:28">
      <c r="B14" s="33" t="s">
        <v>279</v>
      </c>
      <c r="C14" s="10"/>
      <c r="D14" s="124">
        <f>'Sd_Form 1'!E75</f>
        <v>0</v>
      </c>
      <c r="E14" s="47" t="s">
        <v>278</v>
      </c>
      <c r="F14" s="40"/>
      <c r="G14" s="13">
        <f>D14</f>
        <v>0</v>
      </c>
      <c r="H14" s="47" t="s">
        <v>278</v>
      </c>
      <c r="J14" s="20"/>
      <c r="K14" s="10"/>
      <c r="L14" s="10"/>
      <c r="M14" s="10"/>
      <c r="N14" s="10"/>
      <c r="O14" s="10"/>
      <c r="P14" s="10"/>
      <c r="Q14" s="10"/>
      <c r="R14" s="5"/>
      <c r="S14" s="36"/>
      <c r="T14" s="36"/>
      <c r="U14" s="6"/>
      <c r="V14" s="10"/>
      <c r="W14" s="10"/>
      <c r="X14" s="10"/>
      <c r="Y14" s="10"/>
      <c r="Z14" s="17"/>
      <c r="AA14" s="10"/>
      <c r="AB14" s="10"/>
    </row>
    <row r="15" spans="2:28">
      <c r="D15" s="7"/>
      <c r="J15" s="20"/>
      <c r="K15" s="10"/>
      <c r="L15" s="10"/>
      <c r="M15" s="10"/>
      <c r="N15" s="10"/>
      <c r="O15" s="10"/>
      <c r="P15" s="10"/>
      <c r="Q15" s="10" t="s">
        <v>632</v>
      </c>
      <c r="T15" s="109">
        <f>'Tech annexure'!$F$58-'Tech annexure'!$F$26</f>
        <v>0</v>
      </c>
      <c r="U15" s="10" t="s">
        <v>633</v>
      </c>
      <c r="V15" s="10"/>
      <c r="W15" s="10"/>
      <c r="X15" s="10"/>
      <c r="Y15" s="10"/>
      <c r="Z15" s="17"/>
      <c r="AA15" s="10" t="s">
        <v>634</v>
      </c>
      <c r="AB15" s="10"/>
    </row>
    <row r="16" spans="2:28">
      <c r="B16" s="24" t="s">
        <v>635</v>
      </c>
      <c r="C16" s="10"/>
      <c r="D16" s="115">
        <v>0</v>
      </c>
      <c r="E16" s="46" t="s">
        <v>636</v>
      </c>
      <c r="F16" s="40"/>
      <c r="G16" s="13">
        <v>0</v>
      </c>
      <c r="H16" s="46" t="s">
        <v>636</v>
      </c>
      <c r="I16" s="10"/>
      <c r="J16" s="20"/>
      <c r="K16" s="10"/>
      <c r="L16" s="10"/>
      <c r="M16" s="10"/>
      <c r="N16" s="10"/>
      <c r="O16" s="13"/>
      <c r="P16" s="109">
        <f>'Sd_Form 1'!$E$130</f>
        <v>0</v>
      </c>
      <c r="Q16" s="10" t="s">
        <v>858</v>
      </c>
      <c r="R16" s="10"/>
      <c r="T16" s="10"/>
      <c r="U16" s="10"/>
      <c r="V16" s="10"/>
      <c r="W16" s="10"/>
      <c r="X16" s="10"/>
      <c r="Y16" s="10"/>
      <c r="Z16" s="17"/>
      <c r="AA16" s="10" t="s">
        <v>637</v>
      </c>
      <c r="AB16" s="10"/>
    </row>
    <row r="17" spans="2:28">
      <c r="B17" s="33"/>
      <c r="C17" s="10"/>
      <c r="D17" s="115">
        <v>0</v>
      </c>
      <c r="E17" s="47" t="s">
        <v>652</v>
      </c>
      <c r="F17" s="40"/>
      <c r="G17" s="22">
        <v>0</v>
      </c>
      <c r="H17" s="47" t="s">
        <v>652</v>
      </c>
      <c r="I17" s="10"/>
      <c r="J17" s="20"/>
      <c r="K17" s="10"/>
      <c r="L17" s="10"/>
      <c r="M17" s="10"/>
      <c r="N17" s="10"/>
      <c r="O17" s="10"/>
      <c r="P17" s="10"/>
      <c r="Q17" s="10"/>
      <c r="R17" s="10"/>
      <c r="S17" s="10"/>
      <c r="T17" s="10"/>
      <c r="U17" s="10"/>
      <c r="V17" s="10"/>
      <c r="W17" s="10"/>
      <c r="X17" s="10"/>
      <c r="Y17" s="10"/>
      <c r="Z17" s="17"/>
      <c r="AA17" s="10"/>
      <c r="AB17" s="10"/>
    </row>
    <row r="18" spans="2:28">
      <c r="B18" s="10"/>
      <c r="C18" s="10"/>
      <c r="D18" s="117"/>
      <c r="E18" s="10"/>
      <c r="F18" s="10"/>
      <c r="G18" s="10"/>
      <c r="H18" s="10"/>
      <c r="I18" s="10"/>
      <c r="J18" s="20"/>
      <c r="K18" s="10"/>
      <c r="L18" s="10"/>
      <c r="M18" s="10"/>
      <c r="N18" s="10"/>
      <c r="O18" s="10"/>
      <c r="P18" s="10"/>
      <c r="Q18" s="10"/>
      <c r="R18" s="10"/>
      <c r="S18" s="10"/>
      <c r="T18" s="10"/>
      <c r="U18" s="10" t="s">
        <v>638</v>
      </c>
      <c r="V18" s="10"/>
      <c r="W18" s="10"/>
      <c r="X18" s="10"/>
      <c r="Y18" s="10"/>
      <c r="Z18" s="17"/>
      <c r="AA18" s="10"/>
      <c r="AB18" s="52"/>
    </row>
    <row r="19" spans="2:28">
      <c r="B19" s="24" t="s">
        <v>584</v>
      </c>
      <c r="C19" s="10"/>
      <c r="D19" s="115">
        <v>0</v>
      </c>
      <c r="E19" s="46" t="s">
        <v>631</v>
      </c>
      <c r="F19" s="40"/>
      <c r="G19" s="109">
        <v>0</v>
      </c>
      <c r="H19" s="46" t="s">
        <v>631</v>
      </c>
      <c r="I19" s="10"/>
      <c r="J19" s="20"/>
      <c r="K19" s="10"/>
      <c r="L19" s="10"/>
      <c r="M19" s="10"/>
      <c r="N19" s="10"/>
      <c r="O19" s="10"/>
      <c r="P19" s="10"/>
      <c r="Q19" s="10"/>
      <c r="R19" s="10"/>
      <c r="S19" s="10"/>
      <c r="T19" s="13"/>
      <c r="U19" s="10" t="s">
        <v>639</v>
      </c>
      <c r="V19" s="10"/>
      <c r="W19" s="10"/>
      <c r="X19" s="10"/>
      <c r="Y19" s="10"/>
      <c r="Z19" s="17"/>
      <c r="AA19" s="10"/>
      <c r="AB19" s="10"/>
    </row>
    <row r="20" spans="2:28">
      <c r="B20" s="33"/>
      <c r="C20" s="10"/>
      <c r="D20" s="116">
        <v>0</v>
      </c>
      <c r="E20" s="47" t="s">
        <v>668</v>
      </c>
      <c r="F20" s="40"/>
      <c r="G20" s="51">
        <v>0</v>
      </c>
      <c r="H20" s="47" t="s">
        <v>668</v>
      </c>
      <c r="I20" s="10"/>
      <c r="J20" s="20"/>
      <c r="K20" s="10"/>
      <c r="L20" s="10"/>
      <c r="M20" s="10"/>
      <c r="N20" s="10"/>
      <c r="O20" s="10"/>
      <c r="P20" s="10"/>
      <c r="Q20" s="109">
        <f>'Tech annexure'!$F$26</f>
        <v>0</v>
      </c>
      <c r="R20" s="10"/>
      <c r="S20" s="10"/>
      <c r="T20" s="10"/>
      <c r="U20" s="10"/>
      <c r="V20" s="10"/>
      <c r="W20" s="10"/>
      <c r="X20" s="10"/>
      <c r="Y20" s="10"/>
      <c r="Z20" s="17"/>
      <c r="AA20" s="10"/>
      <c r="AB20" s="10"/>
    </row>
    <row r="21" spans="2:28">
      <c r="J21" s="20"/>
      <c r="K21" s="10"/>
      <c r="L21" s="10"/>
      <c r="M21" s="10"/>
      <c r="N21" s="109">
        <f>'Tech annexure'!$F$30</f>
        <v>0</v>
      </c>
      <c r="O21" s="10" t="s">
        <v>859</v>
      </c>
      <c r="P21" s="10"/>
      <c r="Q21" s="10" t="s">
        <v>10</v>
      </c>
      <c r="R21" s="10"/>
      <c r="S21" s="10"/>
      <c r="T21" s="10"/>
      <c r="U21" s="10"/>
      <c r="V21" s="10"/>
      <c r="W21" s="10"/>
      <c r="X21" s="10"/>
      <c r="Y21" s="109">
        <f>'Tech annexure'!$F$66</f>
        <v>0</v>
      </c>
      <c r="Z21" s="17"/>
      <c r="AA21" s="10"/>
      <c r="AB21" s="10"/>
    </row>
    <row r="22" spans="2:28">
      <c r="J22" s="20"/>
      <c r="K22" s="10"/>
      <c r="L22" s="10"/>
      <c r="M22" s="10"/>
      <c r="N22" s="10"/>
      <c r="P22" s="10"/>
      <c r="Q22" s="10"/>
      <c r="R22" s="10"/>
      <c r="S22" s="10"/>
      <c r="T22" s="10"/>
      <c r="U22" s="10"/>
      <c r="V22" s="125">
        <f>'Tech annexure'!$F$58</f>
        <v>0</v>
      </c>
      <c r="W22" s="19" t="s">
        <v>10</v>
      </c>
      <c r="X22" s="10"/>
      <c r="Y22" s="10" t="s">
        <v>550</v>
      </c>
      <c r="Z22" s="17"/>
      <c r="AA22" s="10"/>
      <c r="AB22" s="10"/>
    </row>
    <row r="23" spans="2:28">
      <c r="J23" s="20"/>
      <c r="K23" s="10"/>
      <c r="L23" s="19" t="s">
        <v>563</v>
      </c>
      <c r="M23" s="109">
        <f>'Tech annexure'!$F$16</f>
        <v>0</v>
      </c>
      <c r="N23" s="10" t="s">
        <v>10</v>
      </c>
      <c r="O23" s="30"/>
      <c r="P23" s="31"/>
      <c r="Q23" s="32"/>
      <c r="R23" s="10"/>
      <c r="S23" s="10"/>
      <c r="T23" s="10"/>
      <c r="U23" s="10"/>
      <c r="V23" s="10"/>
      <c r="W23" s="10"/>
      <c r="X23" s="10"/>
      <c r="Y23" s="10"/>
      <c r="Z23" s="17"/>
      <c r="AA23" s="10"/>
      <c r="AB23" s="10"/>
    </row>
    <row r="24" spans="2:28">
      <c r="J24" s="20"/>
      <c r="K24" s="10"/>
      <c r="L24" s="10"/>
      <c r="M24" s="10"/>
      <c r="N24" s="10"/>
      <c r="O24" s="3"/>
      <c r="P24" s="10"/>
      <c r="Q24" s="4"/>
      <c r="R24" s="10"/>
      <c r="S24" s="10"/>
      <c r="T24" s="10"/>
      <c r="U24" s="10"/>
      <c r="V24" s="10"/>
      <c r="W24" s="10"/>
      <c r="X24" s="10"/>
      <c r="Y24" s="10"/>
      <c r="Z24" s="17"/>
      <c r="AA24" s="10"/>
      <c r="AB24" s="10"/>
    </row>
    <row r="25" spans="2:28">
      <c r="B25" s="24" t="s">
        <v>640</v>
      </c>
      <c r="C25" s="10"/>
      <c r="D25" s="118" t="e">
        <f>'Sd_Form 1'!$E$245/10/'Tech annexure'!$F$52</f>
        <v>#DIV/0!</v>
      </c>
      <c r="E25" s="34" t="s">
        <v>191</v>
      </c>
      <c r="F25" s="40"/>
      <c r="G25" s="118" t="e">
        <f>'Sd_Form 1'!$E$246/10/'Tech annexure'!$F$52</f>
        <v>#DIV/0!</v>
      </c>
      <c r="H25" s="34" t="s">
        <v>191</v>
      </c>
      <c r="J25" s="20"/>
      <c r="K25" s="10"/>
      <c r="L25" s="19" t="s">
        <v>563</v>
      </c>
      <c r="M25" s="109">
        <f>'Tech annexure'!$F$14</f>
        <v>0</v>
      </c>
      <c r="N25" s="10" t="s">
        <v>180</v>
      </c>
      <c r="O25" s="3"/>
      <c r="P25" s="10"/>
      <c r="Q25" s="4"/>
      <c r="R25" s="10"/>
      <c r="S25" s="10"/>
      <c r="T25" s="10"/>
      <c r="U25" s="10"/>
      <c r="V25" s="10"/>
      <c r="W25" s="30"/>
      <c r="X25" s="31"/>
      <c r="Y25" s="32"/>
      <c r="Z25" s="17"/>
      <c r="AA25" s="1440" t="s">
        <v>641</v>
      </c>
      <c r="AB25" s="1441"/>
    </row>
    <row r="26" spans="2:28">
      <c r="B26" s="33" t="s">
        <v>279</v>
      </c>
      <c r="C26" s="10"/>
      <c r="D26" s="108">
        <f>'Tech annexure'!$I$17</f>
        <v>0</v>
      </c>
      <c r="E26" s="35" t="s">
        <v>198</v>
      </c>
      <c r="F26" s="40"/>
      <c r="G26" s="119">
        <f>D26</f>
        <v>0</v>
      </c>
      <c r="H26" s="35" t="s">
        <v>198</v>
      </c>
      <c r="J26" s="20"/>
      <c r="K26" s="10"/>
      <c r="L26" s="10"/>
      <c r="M26" s="10"/>
      <c r="N26" s="10"/>
      <c r="O26" s="1442" t="s">
        <v>2</v>
      </c>
      <c r="P26" s="1441"/>
      <c r="Q26" s="1443"/>
      <c r="R26" s="10"/>
      <c r="S26" s="10"/>
      <c r="T26" s="10"/>
      <c r="U26" s="10" t="s">
        <v>2</v>
      </c>
      <c r="V26" s="10"/>
      <c r="W26" s="3"/>
      <c r="X26" s="122" t="s">
        <v>3</v>
      </c>
      <c r="Y26" s="4"/>
      <c r="Z26" s="17"/>
      <c r="AA26" s="10"/>
      <c r="AB26" s="10" t="s">
        <v>10</v>
      </c>
    </row>
    <row r="27" spans="2:28">
      <c r="J27" s="20"/>
      <c r="K27" s="10"/>
      <c r="L27" s="10" t="s">
        <v>642</v>
      </c>
      <c r="M27" s="109">
        <f>'Tech annexure'!$F$13</f>
        <v>0</v>
      </c>
      <c r="N27" s="10" t="s">
        <v>180</v>
      </c>
      <c r="O27" s="1442" t="s">
        <v>643</v>
      </c>
      <c r="P27" s="1441"/>
      <c r="Q27" s="1443"/>
      <c r="R27" s="10"/>
      <c r="S27" s="10"/>
      <c r="T27" s="10"/>
      <c r="U27" s="120">
        <f>'Tech annexure'!$F$62</f>
        <v>0</v>
      </c>
      <c r="V27" s="10"/>
      <c r="W27" s="3"/>
      <c r="X27" s="122" t="s">
        <v>643</v>
      </c>
      <c r="Y27" s="4"/>
      <c r="Z27" s="10"/>
      <c r="AA27" s="109">
        <f>'Tech annexure'!$F$51</f>
        <v>0</v>
      </c>
      <c r="AB27" s="10"/>
    </row>
    <row r="28" spans="2:28">
      <c r="B28" s="34" t="s">
        <v>644</v>
      </c>
      <c r="C28" s="40"/>
      <c r="D28" s="121" t="e">
        <f>'Sd_Form 1'!$E$256/'Sd_Form 1'!$E$254</f>
        <v>#DIV/0!</v>
      </c>
      <c r="E28" s="34" t="s">
        <v>669</v>
      </c>
      <c r="F28" s="40"/>
      <c r="G28" s="121" t="e">
        <f>'Sd_Form 1'!$E$257/'Sd_Form 1'!$E$254</f>
        <v>#DIV/0!</v>
      </c>
      <c r="H28" s="34" t="s">
        <v>645</v>
      </c>
      <c r="J28" s="20"/>
      <c r="K28" s="10"/>
      <c r="L28" s="10"/>
      <c r="M28" s="10"/>
      <c r="N28" s="10"/>
      <c r="O28" s="3"/>
      <c r="P28" s="10"/>
      <c r="Q28" s="4"/>
      <c r="R28" s="10"/>
      <c r="S28" s="10"/>
      <c r="T28" s="10"/>
      <c r="U28" s="10"/>
      <c r="V28" s="10"/>
      <c r="W28" s="3"/>
      <c r="X28" s="10"/>
      <c r="Y28" s="4"/>
      <c r="Z28" s="17"/>
      <c r="AA28" s="10"/>
      <c r="AB28" s="10"/>
    </row>
    <row r="29" spans="2:28">
      <c r="B29" s="33" t="s">
        <v>279</v>
      </c>
      <c r="C29" s="10"/>
      <c r="D29" s="119">
        <f>'Sd_Form 1'!$E$253</f>
        <v>0</v>
      </c>
      <c r="E29" s="35" t="s">
        <v>278</v>
      </c>
      <c r="F29" s="40"/>
      <c r="G29" s="119">
        <f>D29</f>
        <v>0</v>
      </c>
      <c r="H29" s="35" t="s">
        <v>278</v>
      </c>
      <c r="J29" s="20"/>
      <c r="K29" s="10"/>
      <c r="L29" s="10" t="s">
        <v>642</v>
      </c>
      <c r="M29" s="109">
        <f>'Tech annexure'!$F$15</f>
        <v>0</v>
      </c>
      <c r="N29" s="10" t="s">
        <v>10</v>
      </c>
      <c r="O29" s="3"/>
      <c r="P29" s="10"/>
      <c r="Q29" s="4"/>
      <c r="R29" s="10"/>
      <c r="S29" s="10"/>
      <c r="T29" s="10"/>
      <c r="U29" s="10"/>
      <c r="V29" s="10"/>
      <c r="W29" s="5"/>
      <c r="X29" s="36"/>
      <c r="Y29" s="6"/>
      <c r="Z29" s="17"/>
      <c r="AA29" s="10"/>
      <c r="AB29" s="10"/>
    </row>
    <row r="30" spans="2:28">
      <c r="B30" s="10"/>
      <c r="C30" s="10"/>
      <c r="D30" s="10"/>
      <c r="E30" s="10"/>
      <c r="F30" s="10"/>
      <c r="G30" s="10"/>
      <c r="H30" s="10"/>
      <c r="J30" s="20"/>
      <c r="K30" s="10"/>
      <c r="L30" s="10"/>
      <c r="N30" s="10"/>
      <c r="O30" s="3"/>
      <c r="P30" s="10"/>
      <c r="Q30" s="4"/>
      <c r="R30" s="10"/>
      <c r="S30" s="10"/>
      <c r="V30" s="10"/>
      <c r="W30" s="10"/>
      <c r="X30" s="10"/>
      <c r="Y30" s="10"/>
      <c r="Z30" s="17"/>
      <c r="AA30" s="1440" t="s">
        <v>2</v>
      </c>
      <c r="AB30" s="1441"/>
    </row>
    <row r="31" spans="2:28">
      <c r="J31" s="20"/>
      <c r="K31" s="10"/>
      <c r="L31" s="10"/>
      <c r="M31" s="10"/>
      <c r="N31" s="10"/>
      <c r="O31" s="5"/>
      <c r="P31" s="36"/>
      <c r="Q31" s="6"/>
      <c r="R31" s="10"/>
      <c r="S31" s="10"/>
      <c r="T31" s="10"/>
      <c r="U31" s="10"/>
      <c r="W31" s="10"/>
      <c r="X31" s="10"/>
      <c r="Y31" s="10"/>
      <c r="Z31" s="17"/>
      <c r="AA31" s="10"/>
      <c r="AB31" s="10"/>
    </row>
    <row r="32" spans="2:28">
      <c r="J32" s="20"/>
      <c r="K32" s="10"/>
      <c r="L32" s="10"/>
      <c r="M32" s="10"/>
      <c r="N32" s="10"/>
      <c r="O32" s="10"/>
      <c r="P32" s="10"/>
      <c r="Q32" s="10"/>
      <c r="R32" s="10"/>
      <c r="S32" s="13"/>
      <c r="T32" s="10"/>
      <c r="U32" s="10"/>
      <c r="V32" s="109" t="e">
        <f>'Tech annexure'!$F$45</f>
        <v>#DIV/0!</v>
      </c>
      <c r="W32" s="10" t="s">
        <v>646</v>
      </c>
      <c r="X32" s="10"/>
      <c r="Y32" s="10"/>
      <c r="Z32" s="17"/>
      <c r="AA32" s="10" t="s">
        <v>647</v>
      </c>
      <c r="AB32" s="10"/>
    </row>
    <row r="33" spans="9:28">
      <c r="J33" s="20"/>
      <c r="K33" s="10"/>
      <c r="L33" s="10"/>
      <c r="M33" s="10"/>
      <c r="N33" s="10"/>
      <c r="O33" s="10"/>
      <c r="P33" s="10"/>
      <c r="Q33" s="10"/>
      <c r="R33" s="10"/>
      <c r="S33" s="10" t="s">
        <v>648</v>
      </c>
      <c r="T33" s="10"/>
      <c r="U33" s="10"/>
      <c r="V33" s="10"/>
      <c r="W33" s="10"/>
      <c r="X33" s="10"/>
      <c r="Y33" s="10"/>
      <c r="Z33" s="17"/>
      <c r="AA33" s="10" t="s">
        <v>649</v>
      </c>
      <c r="AB33" s="13"/>
    </row>
    <row r="34" spans="9:28">
      <c r="J34" s="20"/>
      <c r="K34" s="10"/>
      <c r="L34" s="10"/>
      <c r="M34" s="10"/>
      <c r="N34" s="10"/>
      <c r="O34" s="10"/>
      <c r="P34" s="10"/>
      <c r="Q34" s="10"/>
      <c r="R34" s="10"/>
      <c r="S34" s="10"/>
      <c r="T34" s="10"/>
      <c r="U34" s="10"/>
      <c r="V34" s="10"/>
      <c r="W34" s="10"/>
      <c r="X34" s="10"/>
      <c r="Y34" s="10"/>
      <c r="Z34" s="17"/>
      <c r="AA34" s="10"/>
      <c r="AB34" s="10"/>
    </row>
    <row r="35" spans="9:28">
      <c r="J35" s="20"/>
      <c r="K35" s="10"/>
      <c r="L35" s="10"/>
      <c r="M35" s="10"/>
      <c r="N35" s="13">
        <f>('Sd_Form 1'!$E$245-'Sd_Form 1'!$E$246)/10</f>
        <v>0</v>
      </c>
      <c r="O35" s="10" t="s">
        <v>180</v>
      </c>
      <c r="P35" s="10"/>
      <c r="Q35" s="10"/>
      <c r="R35" s="30"/>
      <c r="S35" s="31"/>
      <c r="T35" s="32"/>
      <c r="U35" s="10"/>
      <c r="V35" s="10"/>
      <c r="W35" s="10"/>
      <c r="X35" s="10"/>
      <c r="Y35" s="10"/>
      <c r="Z35" s="17"/>
      <c r="AA35" s="10"/>
      <c r="AB35" s="10"/>
    </row>
    <row r="36" spans="9:28">
      <c r="J36" s="20"/>
      <c r="K36" s="10"/>
      <c r="L36" s="10"/>
      <c r="M36" s="10"/>
      <c r="N36" s="10"/>
      <c r="O36" s="10"/>
      <c r="P36" s="10"/>
      <c r="Q36" s="10"/>
      <c r="R36" s="37"/>
      <c r="S36" s="122" t="s">
        <v>650</v>
      </c>
      <c r="T36" s="38"/>
      <c r="U36" s="10"/>
      <c r="V36" s="10"/>
      <c r="W36" s="10"/>
      <c r="X36" s="10"/>
      <c r="Y36" s="10"/>
      <c r="Z36" s="17"/>
      <c r="AA36" s="10"/>
      <c r="AB36" s="10"/>
    </row>
    <row r="37" spans="9:28">
      <c r="J37" s="20"/>
      <c r="K37" s="10"/>
      <c r="L37" s="10"/>
      <c r="M37" s="10"/>
      <c r="N37" s="109">
        <f>'Sd_Form 1'!$E$256-'Sd_Form 1'!$E$257</f>
        <v>0</v>
      </c>
      <c r="O37" s="10"/>
      <c r="P37" s="10"/>
      <c r="Q37" s="10"/>
      <c r="R37" s="37"/>
      <c r="S37" s="122" t="s">
        <v>651</v>
      </c>
      <c r="T37" s="38"/>
      <c r="U37" s="10"/>
      <c r="V37" s="10"/>
      <c r="W37" s="10"/>
      <c r="X37" s="10"/>
      <c r="Y37" s="10"/>
      <c r="Z37" s="17"/>
      <c r="AA37" s="10"/>
      <c r="AB37" s="10"/>
    </row>
    <row r="38" spans="9:28">
      <c r="J38" s="20"/>
      <c r="K38" s="10"/>
      <c r="L38" s="10"/>
      <c r="M38" s="10"/>
      <c r="N38" s="10"/>
      <c r="O38" s="10"/>
      <c r="P38" s="10"/>
      <c r="Q38" s="10"/>
      <c r="R38" s="5"/>
      <c r="S38" s="36"/>
      <c r="T38" s="6"/>
      <c r="U38" s="10"/>
      <c r="V38" s="10"/>
      <c r="W38" s="10"/>
      <c r="X38" s="10"/>
      <c r="Y38" s="10"/>
      <c r="Z38" s="17"/>
      <c r="AA38" s="10"/>
      <c r="AB38" s="10"/>
    </row>
    <row r="39" spans="9:28" ht="15.75" thickBot="1">
      <c r="J39" s="39"/>
      <c r="K39" s="11"/>
      <c r="L39" s="11"/>
      <c r="M39" s="11"/>
      <c r="N39" s="11"/>
      <c r="O39" s="11"/>
      <c r="P39" s="11"/>
      <c r="Q39" s="11"/>
      <c r="R39" s="11"/>
      <c r="S39" s="11"/>
      <c r="T39" s="11"/>
      <c r="U39" s="11"/>
      <c r="V39" s="11"/>
      <c r="W39" s="11"/>
      <c r="X39" s="11"/>
      <c r="Y39" s="11"/>
      <c r="Z39" s="15"/>
      <c r="AA39" s="10"/>
      <c r="AB39" s="10"/>
    </row>
    <row r="40" spans="9:28">
      <c r="I40" s="10"/>
      <c r="J40" s="10"/>
      <c r="K40" s="10"/>
      <c r="L40" s="10"/>
      <c r="M40" s="10"/>
      <c r="N40" s="10"/>
      <c r="O40" s="10"/>
      <c r="P40" s="10"/>
      <c r="Q40" s="10"/>
      <c r="R40" s="10"/>
      <c r="S40" s="10"/>
      <c r="T40" s="10"/>
      <c r="U40" s="10"/>
      <c r="V40" s="10"/>
      <c r="W40" s="10"/>
      <c r="X40" s="10"/>
      <c r="Y40" s="10"/>
      <c r="Z40" s="10"/>
    </row>
    <row r="41" spans="9:28">
      <c r="J41" s="10"/>
      <c r="K41" s="10"/>
      <c r="L41" s="10"/>
      <c r="M41" s="10"/>
      <c r="N41" s="10"/>
      <c r="O41" s="10"/>
      <c r="P41" s="10"/>
      <c r="Q41" s="10"/>
      <c r="R41" s="10"/>
      <c r="S41" s="10"/>
      <c r="T41" s="10"/>
      <c r="U41" s="10"/>
      <c r="V41" s="10"/>
      <c r="W41" s="10"/>
      <c r="X41" s="10"/>
      <c r="Y41" s="10"/>
      <c r="Z41" s="10"/>
      <c r="AA41" s="10"/>
    </row>
    <row r="42" spans="9:28">
      <c r="J42" s="10"/>
      <c r="K42" s="10"/>
      <c r="L42" s="10"/>
      <c r="M42" s="10"/>
      <c r="N42" s="10"/>
      <c r="O42" s="10"/>
      <c r="P42" s="10"/>
      <c r="Q42" s="10"/>
      <c r="R42" s="10"/>
      <c r="S42" s="10"/>
      <c r="T42" s="10"/>
      <c r="U42" s="10"/>
      <c r="V42" s="10"/>
      <c r="W42" s="10"/>
      <c r="X42" s="10"/>
      <c r="Y42" s="10"/>
      <c r="Z42" s="10"/>
      <c r="AA42" s="10"/>
    </row>
    <row r="47" spans="9:28" ht="21">
      <c r="L47" s="114" t="s">
        <v>41</v>
      </c>
      <c r="M47" s="114"/>
      <c r="N47" s="114"/>
      <c r="O47" s="114"/>
      <c r="P47" s="114"/>
      <c r="Q47" s="114"/>
      <c r="R47" s="113"/>
      <c r="S47" s="113"/>
    </row>
    <row r="49" spans="2:28" ht="18">
      <c r="C49" s="53" t="s">
        <v>620</v>
      </c>
      <c r="E49" s="23"/>
      <c r="F49" s="23"/>
      <c r="G49" s="23"/>
      <c r="H49" s="23"/>
      <c r="I49" s="23"/>
      <c r="J49" s="23"/>
      <c r="K49" s="23"/>
      <c r="L49" s="23"/>
      <c r="M49" s="23"/>
      <c r="N49" s="23"/>
      <c r="O49" s="23"/>
      <c r="P49" s="23"/>
      <c r="Q49" s="23"/>
      <c r="R49" s="23"/>
      <c r="S49" s="23"/>
      <c r="T49" s="23"/>
      <c r="U49" s="23"/>
      <c r="V49" s="23"/>
      <c r="W49" s="23"/>
      <c r="X49" s="23"/>
      <c r="Y49" s="23"/>
      <c r="Z49" s="23"/>
      <c r="AA49" s="23"/>
    </row>
    <row r="50" spans="2:28" ht="16.5">
      <c r="D50" s="23"/>
      <c r="E50" s="23"/>
      <c r="F50" s="23"/>
      <c r="G50" s="23"/>
      <c r="H50" s="23"/>
      <c r="I50" s="23"/>
      <c r="J50" s="23"/>
      <c r="K50" s="23"/>
      <c r="L50" s="54" t="s">
        <v>621</v>
      </c>
    </row>
    <row r="51" spans="2:28">
      <c r="D51" s="23"/>
      <c r="E51" s="23"/>
      <c r="F51" s="23"/>
      <c r="G51" s="23"/>
      <c r="H51" s="23"/>
      <c r="I51" s="23"/>
      <c r="J51" s="23"/>
      <c r="K51" s="23"/>
      <c r="L51" s="23"/>
      <c r="N51" s="23"/>
      <c r="P51" s="23"/>
      <c r="Q51" s="23"/>
      <c r="R51" s="23"/>
      <c r="S51" s="23"/>
      <c r="T51" s="23"/>
      <c r="AA51" s="55" t="s">
        <v>667</v>
      </c>
      <c r="AB51" s="55"/>
    </row>
    <row r="52" spans="2:28">
      <c r="D52" s="23"/>
      <c r="E52" s="23"/>
      <c r="F52" s="23"/>
      <c r="G52" s="23"/>
      <c r="H52" s="23"/>
      <c r="I52" s="23"/>
      <c r="J52" s="23"/>
      <c r="K52" s="23"/>
      <c r="L52" s="23"/>
      <c r="N52" s="23"/>
      <c r="P52" s="23"/>
      <c r="Q52" s="23"/>
      <c r="R52" s="23"/>
      <c r="S52" s="23"/>
      <c r="T52" s="23"/>
    </row>
    <row r="53" spans="2:28" ht="15.75" thickBot="1">
      <c r="N53" s="23" t="s">
        <v>622</v>
      </c>
    </row>
    <row r="54" spans="2:28">
      <c r="B54" s="24"/>
      <c r="C54" s="10"/>
      <c r="D54" s="41"/>
      <c r="E54" s="42" t="s">
        <v>32</v>
      </c>
      <c r="F54" s="26"/>
      <c r="G54" s="48"/>
      <c r="H54" s="42" t="s">
        <v>623</v>
      </c>
      <c r="J54" s="27"/>
      <c r="K54" s="16"/>
      <c r="L54" s="16"/>
      <c r="M54" s="16"/>
      <c r="N54" s="16"/>
      <c r="O54" s="16"/>
      <c r="P54" s="16"/>
      <c r="Q54" s="16"/>
      <c r="R54" s="16"/>
      <c r="S54" s="16"/>
      <c r="T54" s="16"/>
      <c r="U54" s="16"/>
      <c r="V54" s="16"/>
      <c r="W54" s="16"/>
      <c r="X54" s="16"/>
      <c r="Y54" s="16"/>
      <c r="Z54" s="28"/>
      <c r="AA54" s="10"/>
      <c r="AB54" s="10"/>
    </row>
    <row r="55" spans="2:28">
      <c r="B55" s="29" t="s">
        <v>36</v>
      </c>
      <c r="C55" s="26"/>
      <c r="D55" s="37"/>
      <c r="E55" s="43" t="s">
        <v>624</v>
      </c>
      <c r="F55" s="26"/>
      <c r="G55" s="49"/>
      <c r="H55" s="43" t="s">
        <v>625</v>
      </c>
      <c r="J55" s="20"/>
      <c r="K55" s="10"/>
      <c r="L55" s="10"/>
      <c r="M55" s="10"/>
      <c r="N55" s="13" t="e">
        <f>'Sd_Form 1'!#REF!/10</f>
        <v>#REF!</v>
      </c>
      <c r="O55" s="19" t="s">
        <v>626</v>
      </c>
      <c r="P55" s="10"/>
      <c r="Q55" s="10"/>
      <c r="R55" s="30"/>
      <c r="S55" s="31"/>
      <c r="T55" s="31"/>
      <c r="U55" s="32"/>
      <c r="V55" s="10"/>
      <c r="W55" s="10"/>
      <c r="X55" s="10"/>
      <c r="Y55" s="10"/>
      <c r="Z55" s="17"/>
      <c r="AA55" s="10"/>
      <c r="AB55" s="10"/>
    </row>
    <row r="56" spans="2:28">
      <c r="B56" s="33"/>
      <c r="C56" s="10"/>
      <c r="D56" s="44"/>
      <c r="E56" s="45" t="s">
        <v>627</v>
      </c>
      <c r="F56" s="26"/>
      <c r="G56" s="50"/>
      <c r="H56" s="45" t="s">
        <v>628</v>
      </c>
      <c r="J56" s="20"/>
      <c r="K56" s="10"/>
      <c r="L56" s="10"/>
      <c r="M56" s="10"/>
      <c r="N56" s="13">
        <v>0</v>
      </c>
      <c r="O56" s="19" t="s">
        <v>10</v>
      </c>
      <c r="P56" s="10"/>
      <c r="Q56" s="10"/>
      <c r="R56" s="3"/>
      <c r="U56" s="4"/>
      <c r="V56" s="10"/>
      <c r="W56" s="10"/>
      <c r="X56" s="10"/>
      <c r="Y56" s="10"/>
      <c r="Z56" s="17"/>
      <c r="AA56" s="10"/>
      <c r="AB56" s="10"/>
    </row>
    <row r="57" spans="2:28">
      <c r="J57" s="20"/>
      <c r="K57" s="10"/>
      <c r="L57" s="10"/>
      <c r="M57" s="10"/>
      <c r="N57" s="10"/>
      <c r="O57" s="19"/>
      <c r="P57" s="10"/>
      <c r="Q57" s="10"/>
      <c r="R57" s="3"/>
      <c r="S57" s="122" t="s">
        <v>629</v>
      </c>
      <c r="T57" s="25" t="s">
        <v>630</v>
      </c>
      <c r="U57" s="4"/>
      <c r="V57" s="10"/>
      <c r="W57" s="10"/>
      <c r="X57" s="10"/>
      <c r="Y57" s="10"/>
      <c r="Z57" s="17"/>
      <c r="AA57" s="10"/>
      <c r="AB57" s="10"/>
    </row>
    <row r="58" spans="2:28">
      <c r="B58" s="24" t="s">
        <v>862</v>
      </c>
      <c r="C58" s="10"/>
      <c r="D58" s="115" t="e">
        <f>'Sd_Form 1'!#REF!*'Sd_Form 1'!#REF!</f>
        <v>#REF!</v>
      </c>
      <c r="E58" s="46" t="s">
        <v>631</v>
      </c>
      <c r="F58" s="40"/>
      <c r="G58" s="13" t="e">
        <f>D58</f>
        <v>#REF!</v>
      </c>
      <c r="H58" s="46" t="s">
        <v>631</v>
      </c>
      <c r="J58" s="20"/>
      <c r="K58" s="10"/>
      <c r="L58" s="10"/>
      <c r="M58" s="10"/>
      <c r="N58" s="13" t="e">
        <f>D58</f>
        <v>#REF!</v>
      </c>
      <c r="O58" s="18" t="s">
        <v>10</v>
      </c>
      <c r="P58" s="10"/>
      <c r="Q58" s="10"/>
      <c r="R58" s="3"/>
      <c r="S58" s="10"/>
      <c r="T58" s="10"/>
      <c r="U58" s="4"/>
      <c r="V58" s="10"/>
      <c r="W58" s="10"/>
      <c r="X58" s="10"/>
      <c r="Y58" s="10"/>
      <c r="Z58" s="17"/>
      <c r="AA58" s="10"/>
      <c r="AB58" s="10"/>
    </row>
    <row r="59" spans="2:28">
      <c r="B59" s="33" t="s">
        <v>279</v>
      </c>
      <c r="C59" s="10"/>
      <c r="D59" s="124" t="e">
        <f>'Sd_Form 1'!#REF!</f>
        <v>#REF!</v>
      </c>
      <c r="E59" s="47" t="s">
        <v>278</v>
      </c>
      <c r="F59" s="40"/>
      <c r="G59" s="13" t="e">
        <f>D59</f>
        <v>#REF!</v>
      </c>
      <c r="H59" s="47" t="s">
        <v>278</v>
      </c>
      <c r="J59" s="20"/>
      <c r="K59" s="10"/>
      <c r="L59" s="10"/>
      <c r="M59" s="10"/>
      <c r="N59" s="10"/>
      <c r="O59" s="10"/>
      <c r="P59" s="10"/>
      <c r="Q59" s="10"/>
      <c r="R59" s="5"/>
      <c r="S59" s="36"/>
      <c r="T59" s="36"/>
      <c r="U59" s="6"/>
      <c r="V59" s="10"/>
      <c r="W59" s="10"/>
      <c r="X59" s="10"/>
      <c r="Y59" s="10"/>
      <c r="Z59" s="17"/>
      <c r="AA59" s="10"/>
      <c r="AB59" s="10"/>
    </row>
    <row r="60" spans="2:28">
      <c r="D60" s="7"/>
      <c r="J60" s="20"/>
      <c r="K60" s="10"/>
      <c r="L60" s="10"/>
      <c r="M60" s="10"/>
      <c r="N60" s="10"/>
      <c r="O60" s="10"/>
      <c r="P60" s="10"/>
      <c r="Q60" s="10" t="s">
        <v>632</v>
      </c>
      <c r="T60" s="109">
        <f>'Tech annexure'!$G$58-'Tech annexure'!$G$26</f>
        <v>0</v>
      </c>
      <c r="U60" s="10" t="s">
        <v>633</v>
      </c>
      <c r="V60" s="10"/>
      <c r="W60" s="10"/>
      <c r="X60" s="10"/>
      <c r="Y60" s="10"/>
      <c r="Z60" s="17"/>
      <c r="AA60" s="10" t="s">
        <v>634</v>
      </c>
      <c r="AB60" s="10"/>
    </row>
    <row r="61" spans="2:28">
      <c r="B61" s="24" t="s">
        <v>635</v>
      </c>
      <c r="C61" s="10"/>
      <c r="D61" s="115">
        <v>0</v>
      </c>
      <c r="E61" s="46" t="s">
        <v>636</v>
      </c>
      <c r="F61" s="40"/>
      <c r="G61" s="13">
        <v>0</v>
      </c>
      <c r="H61" s="46" t="s">
        <v>636</v>
      </c>
      <c r="I61" s="10"/>
      <c r="J61" s="20"/>
      <c r="K61" s="10"/>
      <c r="L61" s="10"/>
      <c r="M61" s="10"/>
      <c r="N61" s="10"/>
      <c r="O61" s="13"/>
      <c r="P61" s="109" t="e">
        <f>'Sd_Form 1'!#REF!</f>
        <v>#REF!</v>
      </c>
      <c r="Q61" s="10" t="s">
        <v>858</v>
      </c>
      <c r="R61" s="10"/>
      <c r="T61" s="10"/>
      <c r="U61" s="10"/>
      <c r="V61" s="10"/>
      <c r="W61" s="10"/>
      <c r="X61" s="10"/>
      <c r="Y61" s="10"/>
      <c r="Z61" s="17"/>
      <c r="AA61" s="10" t="s">
        <v>637</v>
      </c>
      <c r="AB61" s="10"/>
    </row>
    <row r="62" spans="2:28">
      <c r="B62" s="33"/>
      <c r="C62" s="10"/>
      <c r="D62" s="115">
        <v>0</v>
      </c>
      <c r="E62" s="47" t="s">
        <v>652</v>
      </c>
      <c r="F62" s="40"/>
      <c r="G62" s="22">
        <v>0</v>
      </c>
      <c r="H62" s="47" t="s">
        <v>652</v>
      </c>
      <c r="I62" s="10"/>
      <c r="J62" s="20"/>
      <c r="K62" s="10"/>
      <c r="L62" s="10"/>
      <c r="M62" s="10"/>
      <c r="N62" s="10"/>
      <c r="O62" s="10"/>
      <c r="P62" s="10"/>
      <c r="Q62" s="10"/>
      <c r="R62" s="10"/>
      <c r="S62" s="10"/>
      <c r="T62" s="10"/>
      <c r="U62" s="10"/>
      <c r="V62" s="10"/>
      <c r="W62" s="10"/>
      <c r="X62" s="10"/>
      <c r="Y62" s="10"/>
      <c r="Z62" s="17"/>
      <c r="AA62" s="10"/>
      <c r="AB62" s="10"/>
    </row>
    <row r="63" spans="2:28">
      <c r="B63" s="10"/>
      <c r="C63" s="10"/>
      <c r="D63" s="117"/>
      <c r="E63" s="10"/>
      <c r="F63" s="10"/>
      <c r="G63" s="10"/>
      <c r="H63" s="10"/>
      <c r="I63" s="10"/>
      <c r="J63" s="20"/>
      <c r="K63" s="10"/>
      <c r="L63" s="10"/>
      <c r="M63" s="10"/>
      <c r="N63" s="10"/>
      <c r="O63" s="10"/>
      <c r="P63" s="10"/>
      <c r="Q63" s="10"/>
      <c r="R63" s="10"/>
      <c r="S63" s="10"/>
      <c r="T63" s="10"/>
      <c r="U63" s="10" t="s">
        <v>638</v>
      </c>
      <c r="V63" s="10"/>
      <c r="W63" s="10"/>
      <c r="X63" s="10"/>
      <c r="Y63" s="10"/>
      <c r="Z63" s="17"/>
      <c r="AA63" s="10"/>
      <c r="AB63" s="52"/>
    </row>
    <row r="64" spans="2:28">
      <c r="B64" s="24" t="s">
        <v>584</v>
      </c>
      <c r="C64" s="10"/>
      <c r="D64" s="115">
        <v>0</v>
      </c>
      <c r="E64" s="46" t="s">
        <v>631</v>
      </c>
      <c r="F64" s="40"/>
      <c r="G64" s="109">
        <v>0</v>
      </c>
      <c r="H64" s="46" t="s">
        <v>631</v>
      </c>
      <c r="I64" s="10"/>
      <c r="J64" s="20"/>
      <c r="K64" s="10"/>
      <c r="L64" s="10"/>
      <c r="M64" s="10"/>
      <c r="N64" s="10"/>
      <c r="O64" s="10"/>
      <c r="P64" s="10"/>
      <c r="Q64" s="10"/>
      <c r="R64" s="10"/>
      <c r="S64" s="10"/>
      <c r="T64" s="13"/>
      <c r="U64" s="10" t="s">
        <v>639</v>
      </c>
      <c r="V64" s="10"/>
      <c r="W64" s="10"/>
      <c r="X64" s="10"/>
      <c r="Y64" s="10"/>
      <c r="Z64" s="17"/>
      <c r="AA64" s="10"/>
      <c r="AB64" s="10"/>
    </row>
    <row r="65" spans="2:28">
      <c r="B65" s="33"/>
      <c r="C65" s="10"/>
      <c r="D65" s="116">
        <v>0</v>
      </c>
      <c r="E65" s="47" t="s">
        <v>668</v>
      </c>
      <c r="F65" s="40"/>
      <c r="G65" s="51">
        <v>0</v>
      </c>
      <c r="H65" s="47" t="s">
        <v>668</v>
      </c>
      <c r="I65" s="10"/>
      <c r="J65" s="20"/>
      <c r="K65" s="10"/>
      <c r="L65" s="10"/>
      <c r="M65" s="10"/>
      <c r="N65" s="10"/>
      <c r="O65" s="10"/>
      <c r="P65" s="10"/>
      <c r="Q65" s="109">
        <f>'Tech annexure'!$G$26</f>
        <v>0</v>
      </c>
      <c r="R65" s="10"/>
      <c r="S65" s="10"/>
      <c r="T65" s="10"/>
      <c r="U65" s="10"/>
      <c r="V65" s="10"/>
      <c r="W65" s="10"/>
      <c r="X65" s="10"/>
      <c r="Y65" s="10"/>
      <c r="Z65" s="17"/>
      <c r="AA65" s="10"/>
      <c r="AB65" s="10"/>
    </row>
    <row r="66" spans="2:28">
      <c r="J66" s="20"/>
      <c r="K66" s="10"/>
      <c r="L66" s="10"/>
      <c r="M66" s="10"/>
      <c r="N66" s="109">
        <f>'Tech annexure'!$G$30</f>
        <v>0</v>
      </c>
      <c r="O66" s="10" t="s">
        <v>859</v>
      </c>
      <c r="P66" s="10"/>
      <c r="Q66" s="10" t="s">
        <v>10</v>
      </c>
      <c r="R66" s="10"/>
      <c r="S66" s="10"/>
      <c r="T66" s="10"/>
      <c r="U66" s="10"/>
      <c r="V66" s="10"/>
      <c r="W66" s="10"/>
      <c r="X66" s="10"/>
      <c r="Y66" s="109">
        <f>'Tech annexure'!$G$66</f>
        <v>0</v>
      </c>
      <c r="Z66" s="17"/>
      <c r="AA66" s="10"/>
      <c r="AB66" s="10"/>
    </row>
    <row r="67" spans="2:28">
      <c r="J67" s="20"/>
      <c r="K67" s="10"/>
      <c r="L67" s="10"/>
      <c r="M67" s="10"/>
      <c r="N67" s="10"/>
      <c r="P67" s="10"/>
      <c r="Q67" s="10"/>
      <c r="R67" s="10"/>
      <c r="S67" s="10"/>
      <c r="T67" s="10"/>
      <c r="U67" s="10"/>
      <c r="V67" s="109">
        <f>'Tech annexure'!$G$58</f>
        <v>0</v>
      </c>
      <c r="W67" s="19" t="s">
        <v>10</v>
      </c>
      <c r="X67" s="10"/>
      <c r="Y67" s="10" t="s">
        <v>550</v>
      </c>
      <c r="Z67" s="17"/>
      <c r="AA67" s="10"/>
      <c r="AB67" s="10"/>
    </row>
    <row r="68" spans="2:28">
      <c r="J68" s="20"/>
      <c r="K68" s="10"/>
      <c r="L68" s="19" t="s">
        <v>563</v>
      </c>
      <c r="M68" s="109">
        <f>'Tech annexure'!$G$16</f>
        <v>0</v>
      </c>
      <c r="N68" s="10" t="s">
        <v>10</v>
      </c>
      <c r="O68" s="30"/>
      <c r="P68" s="31"/>
      <c r="Q68" s="32"/>
      <c r="R68" s="10"/>
      <c r="S68" s="10"/>
      <c r="T68" s="10"/>
      <c r="U68" s="10"/>
      <c r="V68" s="10"/>
      <c r="W68" s="10"/>
      <c r="X68" s="10"/>
      <c r="Y68" s="10"/>
      <c r="Z68" s="17"/>
      <c r="AA68" s="10"/>
      <c r="AB68" s="10"/>
    </row>
    <row r="69" spans="2:28">
      <c r="J69" s="20"/>
      <c r="K69" s="10"/>
      <c r="L69" s="10"/>
      <c r="M69" s="10"/>
      <c r="N69" s="10"/>
      <c r="O69" s="3"/>
      <c r="P69" s="10"/>
      <c r="Q69" s="4"/>
      <c r="R69" s="10"/>
      <c r="S69" s="10"/>
      <c r="T69" s="10"/>
      <c r="U69" s="10"/>
      <c r="V69" s="10"/>
      <c r="W69" s="10"/>
      <c r="X69" s="10"/>
      <c r="Y69" s="10"/>
      <c r="Z69" s="17"/>
      <c r="AA69" s="10"/>
      <c r="AB69" s="10"/>
    </row>
    <row r="70" spans="2:28">
      <c r="B70" s="24" t="s">
        <v>640</v>
      </c>
      <c r="C70" s="10"/>
      <c r="D70" s="118" t="e">
        <f>'Sd_Form 1'!#REF!/10/'Tech annexure'!$G$52</f>
        <v>#REF!</v>
      </c>
      <c r="E70" s="34" t="s">
        <v>191</v>
      </c>
      <c r="F70" s="40"/>
      <c r="G70" s="118" t="e">
        <f>'Sd_Form 1'!#REF!/10/'Tech annexure'!$G$52</f>
        <v>#REF!</v>
      </c>
      <c r="H70" s="34" t="s">
        <v>191</v>
      </c>
      <c r="J70" s="20"/>
      <c r="K70" s="10"/>
      <c r="L70" s="19" t="s">
        <v>563</v>
      </c>
      <c r="M70" s="109">
        <f>'Tech annexure'!$G$14</f>
        <v>0</v>
      </c>
      <c r="N70" s="10" t="s">
        <v>180</v>
      </c>
      <c r="O70" s="3"/>
      <c r="P70" s="10"/>
      <c r="Q70" s="4"/>
      <c r="R70" s="10"/>
      <c r="S70" s="10"/>
      <c r="T70" s="10"/>
      <c r="U70" s="10"/>
      <c r="V70" s="10"/>
      <c r="W70" s="30"/>
      <c r="X70" s="31"/>
      <c r="Y70" s="32"/>
      <c r="Z70" s="17"/>
      <c r="AA70" s="1440" t="s">
        <v>641</v>
      </c>
      <c r="AB70" s="1441"/>
    </row>
    <row r="71" spans="2:28">
      <c r="B71" s="33" t="s">
        <v>279</v>
      </c>
      <c r="C71" s="10"/>
      <c r="D71" s="108">
        <f>'Tech annexure'!$I$17</f>
        <v>0</v>
      </c>
      <c r="E71" s="35" t="s">
        <v>198</v>
      </c>
      <c r="F71" s="40"/>
      <c r="G71" s="119">
        <f>D71</f>
        <v>0</v>
      </c>
      <c r="H71" s="35" t="s">
        <v>198</v>
      </c>
      <c r="J71" s="20"/>
      <c r="K71" s="10"/>
      <c r="L71" s="10"/>
      <c r="M71" s="10"/>
      <c r="N71" s="10"/>
      <c r="O71" s="1442" t="s">
        <v>2</v>
      </c>
      <c r="P71" s="1441"/>
      <c r="Q71" s="1443"/>
      <c r="R71" s="10"/>
      <c r="S71" s="10"/>
      <c r="T71" s="10"/>
      <c r="U71" s="10" t="s">
        <v>2</v>
      </c>
      <c r="V71" s="10"/>
      <c r="W71" s="3"/>
      <c r="X71" s="122" t="s">
        <v>3</v>
      </c>
      <c r="Y71" s="4"/>
      <c r="Z71" s="17"/>
      <c r="AA71" s="10"/>
      <c r="AB71" s="10" t="s">
        <v>10</v>
      </c>
    </row>
    <row r="72" spans="2:28">
      <c r="J72" s="20"/>
      <c r="K72" s="10"/>
      <c r="L72" s="10" t="s">
        <v>642</v>
      </c>
      <c r="M72" s="109">
        <f>'Tech annexure'!$G$13</f>
        <v>0</v>
      </c>
      <c r="N72" s="10" t="s">
        <v>180</v>
      </c>
      <c r="O72" s="1442" t="s">
        <v>643</v>
      </c>
      <c r="P72" s="1441"/>
      <c r="Q72" s="1443"/>
      <c r="R72" s="10"/>
      <c r="S72" s="10"/>
      <c r="T72" s="10"/>
      <c r="U72" s="120">
        <f>'Tech annexure'!$G$62</f>
        <v>0</v>
      </c>
      <c r="V72" s="10"/>
      <c r="W72" s="3"/>
      <c r="X72" s="122" t="s">
        <v>643</v>
      </c>
      <c r="Y72" s="4"/>
      <c r="Z72" s="10"/>
      <c r="AA72" s="109">
        <f>'Tech annexure'!$G$51</f>
        <v>0</v>
      </c>
      <c r="AB72" s="10"/>
    </row>
    <row r="73" spans="2:28">
      <c r="B73" s="34" t="s">
        <v>644</v>
      </c>
      <c r="C73" s="40"/>
      <c r="D73" s="121" t="e">
        <f>'Sd_Form 1'!#REF!/'Sd_Form 1'!#REF!</f>
        <v>#REF!</v>
      </c>
      <c r="E73" s="34" t="s">
        <v>669</v>
      </c>
      <c r="F73" s="40"/>
      <c r="G73" s="121" t="e">
        <f>'Sd_Form 1'!#REF!/'Sd_Form 1'!#REF!</f>
        <v>#REF!</v>
      </c>
      <c r="H73" s="34" t="s">
        <v>645</v>
      </c>
      <c r="J73" s="20"/>
      <c r="K73" s="10"/>
      <c r="L73" s="10"/>
      <c r="M73" s="10"/>
      <c r="N73" s="10"/>
      <c r="O73" s="3"/>
      <c r="P73" s="10"/>
      <c r="Q73" s="4"/>
      <c r="R73" s="10"/>
      <c r="S73" s="10"/>
      <c r="T73" s="10"/>
      <c r="U73" s="10"/>
      <c r="V73" s="10"/>
      <c r="W73" s="3"/>
      <c r="X73" s="10"/>
      <c r="Y73" s="4"/>
      <c r="Z73" s="17"/>
      <c r="AA73" s="10"/>
      <c r="AB73" s="10"/>
    </row>
    <row r="74" spans="2:28">
      <c r="B74" s="33" t="s">
        <v>279</v>
      </c>
      <c r="C74" s="10"/>
      <c r="D74" s="119" t="e">
        <f>'Sd_Form 1'!#REF!</f>
        <v>#REF!</v>
      </c>
      <c r="E74" s="35" t="s">
        <v>278</v>
      </c>
      <c r="F74" s="40"/>
      <c r="G74" s="119" t="e">
        <f>D74</f>
        <v>#REF!</v>
      </c>
      <c r="H74" s="35" t="s">
        <v>278</v>
      </c>
      <c r="J74" s="20"/>
      <c r="K74" s="10"/>
      <c r="L74" s="10" t="s">
        <v>642</v>
      </c>
      <c r="M74" s="109">
        <f>'Tech annexure'!$G$15</f>
        <v>0</v>
      </c>
      <c r="N74" s="10" t="s">
        <v>10</v>
      </c>
      <c r="O74" s="3"/>
      <c r="P74" s="10"/>
      <c r="Q74" s="4"/>
      <c r="R74" s="10"/>
      <c r="S74" s="10"/>
      <c r="T74" s="10"/>
      <c r="U74" s="10"/>
      <c r="V74" s="10"/>
      <c r="W74" s="5"/>
      <c r="X74" s="36"/>
      <c r="Y74" s="6"/>
      <c r="Z74" s="17"/>
      <c r="AA74" s="10"/>
      <c r="AB74" s="10"/>
    </row>
    <row r="75" spans="2:28">
      <c r="B75" s="10"/>
      <c r="C75" s="10"/>
      <c r="D75" s="10"/>
      <c r="E75" s="10"/>
      <c r="F75" s="10"/>
      <c r="G75" s="10"/>
      <c r="H75" s="10"/>
      <c r="J75" s="20"/>
      <c r="K75" s="10"/>
      <c r="L75" s="10"/>
      <c r="N75" s="10"/>
      <c r="O75" s="3"/>
      <c r="P75" s="10"/>
      <c r="Q75" s="4"/>
      <c r="R75" s="10"/>
      <c r="S75" s="10"/>
      <c r="V75" s="10"/>
      <c r="W75" s="10"/>
      <c r="X75" s="10"/>
      <c r="Y75" s="10"/>
      <c r="Z75" s="17"/>
      <c r="AA75" s="1440" t="s">
        <v>2</v>
      </c>
      <c r="AB75" s="1441"/>
    </row>
    <row r="76" spans="2:28">
      <c r="J76" s="20"/>
      <c r="K76" s="10"/>
      <c r="L76" s="10"/>
      <c r="M76" s="10"/>
      <c r="N76" s="10"/>
      <c r="O76" s="5"/>
      <c r="P76" s="36"/>
      <c r="Q76" s="6"/>
      <c r="R76" s="10"/>
      <c r="S76" s="10"/>
      <c r="T76" s="10"/>
      <c r="U76" s="10"/>
      <c r="W76" s="10"/>
      <c r="X76" s="10"/>
      <c r="Y76" s="10"/>
      <c r="Z76" s="17"/>
      <c r="AA76" s="10"/>
      <c r="AB76" s="10"/>
    </row>
    <row r="77" spans="2:28">
      <c r="J77" s="20"/>
      <c r="K77" s="10"/>
      <c r="L77" s="10"/>
      <c r="M77" s="10"/>
      <c r="N77" s="10"/>
      <c r="O77" s="10"/>
      <c r="P77" s="10"/>
      <c r="Q77" s="10"/>
      <c r="R77" s="10"/>
      <c r="S77" s="13"/>
      <c r="T77" s="10"/>
      <c r="U77" s="10"/>
      <c r="V77" s="109" t="e">
        <f>'Tech annexure'!$G$45</f>
        <v>#DIV/0!</v>
      </c>
      <c r="W77" s="10" t="s">
        <v>646</v>
      </c>
      <c r="X77" s="10"/>
      <c r="Y77" s="10"/>
      <c r="Z77" s="17"/>
      <c r="AA77" s="10" t="s">
        <v>647</v>
      </c>
      <c r="AB77" s="10"/>
    </row>
    <row r="78" spans="2:28">
      <c r="J78" s="20"/>
      <c r="K78" s="10"/>
      <c r="L78" s="10"/>
      <c r="M78" s="10"/>
      <c r="N78" s="10"/>
      <c r="O78" s="10"/>
      <c r="P78" s="10"/>
      <c r="Q78" s="10"/>
      <c r="R78" s="10"/>
      <c r="S78" s="10" t="s">
        <v>648</v>
      </c>
      <c r="T78" s="10"/>
      <c r="U78" s="10"/>
      <c r="V78" s="10"/>
      <c r="W78" s="10"/>
      <c r="X78" s="10"/>
      <c r="Y78" s="10"/>
      <c r="Z78" s="17"/>
      <c r="AA78" s="10" t="s">
        <v>649</v>
      </c>
      <c r="AB78" s="13"/>
    </row>
    <row r="79" spans="2:28">
      <c r="J79" s="20"/>
      <c r="K79" s="10"/>
      <c r="L79" s="10"/>
      <c r="M79" s="10"/>
      <c r="N79" s="10"/>
      <c r="O79" s="10"/>
      <c r="P79" s="10"/>
      <c r="Q79" s="10"/>
      <c r="R79" s="10"/>
      <c r="S79" s="10"/>
      <c r="T79" s="10"/>
      <c r="U79" s="10"/>
      <c r="V79" s="10"/>
      <c r="W79" s="10"/>
      <c r="X79" s="10"/>
      <c r="Y79" s="10"/>
      <c r="Z79" s="17"/>
      <c r="AA79" s="10"/>
      <c r="AB79" s="10"/>
    </row>
    <row r="80" spans="2:28">
      <c r="J80" s="20"/>
      <c r="K80" s="10"/>
      <c r="L80" s="10"/>
      <c r="M80" s="10"/>
      <c r="N80" s="13" t="e">
        <f>('Sd_Form 1'!#REF!-'Sd_Form 1'!#REF!)/10</f>
        <v>#REF!</v>
      </c>
      <c r="O80" s="10" t="s">
        <v>180</v>
      </c>
      <c r="P80" s="10"/>
      <c r="Q80" s="10"/>
      <c r="R80" s="30"/>
      <c r="S80" s="31"/>
      <c r="T80" s="32"/>
      <c r="U80" s="10"/>
      <c r="V80" s="10"/>
      <c r="W80" s="10"/>
      <c r="X80" s="10"/>
      <c r="Y80" s="10"/>
      <c r="Z80" s="17"/>
      <c r="AA80" s="10"/>
      <c r="AB80" s="10"/>
    </row>
    <row r="81" spans="3:28">
      <c r="J81" s="20"/>
      <c r="K81" s="10"/>
      <c r="L81" s="10"/>
      <c r="M81" s="10"/>
      <c r="N81" s="10"/>
      <c r="O81" s="10"/>
      <c r="P81" s="10"/>
      <c r="Q81" s="10"/>
      <c r="R81" s="37"/>
      <c r="S81" s="122" t="s">
        <v>650</v>
      </c>
      <c r="T81" s="38"/>
      <c r="U81" s="10"/>
      <c r="V81" s="10"/>
      <c r="W81" s="10"/>
      <c r="X81" s="10"/>
      <c r="Y81" s="10"/>
      <c r="Z81" s="17"/>
      <c r="AA81" s="10"/>
      <c r="AB81" s="10"/>
    </row>
    <row r="82" spans="3:28">
      <c r="J82" s="20"/>
      <c r="K82" s="10"/>
      <c r="L82" s="10"/>
      <c r="M82" s="10"/>
      <c r="N82" s="109" t="e">
        <f>'Sd_Form 1'!#REF!-'Sd_Form 1'!#REF!</f>
        <v>#REF!</v>
      </c>
      <c r="O82" s="10"/>
      <c r="P82" s="10"/>
      <c r="Q82" s="10"/>
      <c r="R82" s="37"/>
      <c r="S82" s="122" t="s">
        <v>651</v>
      </c>
      <c r="T82" s="38"/>
      <c r="U82" s="10"/>
      <c r="V82" s="10"/>
      <c r="W82" s="10"/>
      <c r="X82" s="10"/>
      <c r="Y82" s="10"/>
      <c r="Z82" s="17"/>
      <c r="AA82" s="10"/>
      <c r="AB82" s="10"/>
    </row>
    <row r="83" spans="3:28">
      <c r="J83" s="20"/>
      <c r="K83" s="10"/>
      <c r="L83" s="10"/>
      <c r="M83" s="10"/>
      <c r="N83" s="10"/>
      <c r="O83" s="10"/>
      <c r="P83" s="10"/>
      <c r="Q83" s="10"/>
      <c r="R83" s="5"/>
      <c r="S83" s="36"/>
      <c r="T83" s="6"/>
      <c r="U83" s="10"/>
      <c r="V83" s="10"/>
      <c r="W83" s="10"/>
      <c r="X83" s="10"/>
      <c r="Y83" s="10"/>
      <c r="Z83" s="17"/>
      <c r="AA83" s="10"/>
      <c r="AB83" s="10"/>
    </row>
    <row r="84" spans="3:28" ht="15.75" thickBot="1">
      <c r="J84" s="39"/>
      <c r="K84" s="11"/>
      <c r="L84" s="11"/>
      <c r="M84" s="11"/>
      <c r="N84" s="11"/>
      <c r="O84" s="11"/>
      <c r="P84" s="11"/>
      <c r="Q84" s="11"/>
      <c r="R84" s="11"/>
      <c r="S84" s="11"/>
      <c r="T84" s="11"/>
      <c r="U84" s="11"/>
      <c r="V84" s="11"/>
      <c r="W84" s="11"/>
      <c r="X84" s="11"/>
      <c r="Y84" s="11"/>
      <c r="Z84" s="15"/>
      <c r="AA84" s="10"/>
      <c r="AB84" s="10"/>
    </row>
    <row r="85" spans="3:28">
      <c r="I85" s="10"/>
      <c r="J85" s="10"/>
      <c r="K85" s="10"/>
      <c r="L85" s="10"/>
      <c r="M85" s="10"/>
      <c r="N85" s="10"/>
      <c r="O85" s="10"/>
      <c r="P85" s="10"/>
      <c r="Q85" s="10"/>
      <c r="R85" s="10"/>
      <c r="S85" s="10"/>
      <c r="T85" s="10"/>
      <c r="U85" s="10"/>
      <c r="V85" s="10"/>
      <c r="W85" s="10"/>
      <c r="X85" s="10"/>
      <c r="Y85" s="10"/>
      <c r="Z85" s="10"/>
    </row>
    <row r="91" spans="3:28" ht="21">
      <c r="L91" s="114" t="s">
        <v>42</v>
      </c>
      <c r="M91" s="114"/>
      <c r="N91" s="114"/>
      <c r="O91" s="114"/>
      <c r="P91" s="114"/>
      <c r="Q91" s="114"/>
      <c r="R91" s="113"/>
      <c r="S91" s="113"/>
    </row>
    <row r="93" spans="3:28" ht="18">
      <c r="C93" s="53" t="s">
        <v>620</v>
      </c>
      <c r="E93" s="23"/>
      <c r="F93" s="23"/>
      <c r="G93" s="23"/>
      <c r="H93" s="23"/>
      <c r="I93" s="23"/>
      <c r="J93" s="23"/>
      <c r="K93" s="23"/>
      <c r="L93" s="23"/>
      <c r="M93" s="23"/>
      <c r="N93" s="23"/>
      <c r="O93" s="23"/>
      <c r="P93" s="23"/>
      <c r="Q93" s="23"/>
      <c r="R93" s="23"/>
      <c r="S93" s="23"/>
      <c r="T93" s="23"/>
      <c r="U93" s="23"/>
      <c r="V93" s="23"/>
      <c r="W93" s="23"/>
      <c r="X93" s="23"/>
      <c r="Y93" s="23"/>
      <c r="Z93" s="23"/>
      <c r="AA93" s="23"/>
    </row>
    <row r="94" spans="3:28" ht="16.5">
      <c r="D94" s="23"/>
      <c r="E94" s="23"/>
      <c r="F94" s="23"/>
      <c r="G94" s="23"/>
      <c r="H94" s="23"/>
      <c r="I94" s="23"/>
      <c r="J94" s="23"/>
      <c r="K94" s="23"/>
      <c r="L94" s="54" t="s">
        <v>621</v>
      </c>
    </row>
    <row r="95" spans="3:28">
      <c r="D95" s="23"/>
      <c r="E95" s="23"/>
      <c r="F95" s="23"/>
      <c r="G95" s="23"/>
      <c r="H95" s="23"/>
      <c r="I95" s="23"/>
      <c r="J95" s="23"/>
      <c r="K95" s="23"/>
      <c r="L95" s="23"/>
      <c r="N95" s="23"/>
      <c r="P95" s="23"/>
      <c r="Q95" s="23"/>
      <c r="R95" s="23"/>
      <c r="S95" s="23"/>
      <c r="T95" s="23"/>
      <c r="AA95" s="55" t="s">
        <v>667</v>
      </c>
      <c r="AB95" s="55"/>
    </row>
    <row r="96" spans="3:28">
      <c r="D96" s="23"/>
      <c r="E96" s="23"/>
      <c r="F96" s="23"/>
      <c r="G96" s="23"/>
      <c r="H96" s="23"/>
      <c r="I96" s="23"/>
      <c r="J96" s="23"/>
      <c r="K96" s="23"/>
      <c r="L96" s="23"/>
      <c r="N96" s="23"/>
      <c r="P96" s="23"/>
      <c r="Q96" s="23"/>
      <c r="R96" s="23"/>
      <c r="S96" s="23"/>
      <c r="T96" s="23"/>
    </row>
    <row r="97" spans="2:28" ht="15.75" thickBot="1">
      <c r="N97" s="23" t="s">
        <v>622</v>
      </c>
    </row>
    <row r="98" spans="2:28">
      <c r="B98" s="24"/>
      <c r="C98" s="10"/>
      <c r="D98" s="41"/>
      <c r="E98" s="42" t="s">
        <v>32</v>
      </c>
      <c r="F98" s="26"/>
      <c r="G98" s="48"/>
      <c r="H98" s="42" t="s">
        <v>623</v>
      </c>
      <c r="J98" s="27"/>
      <c r="K98" s="16"/>
      <c r="L98" s="16"/>
      <c r="M98" s="16"/>
      <c r="N98" s="16"/>
      <c r="O98" s="16"/>
      <c r="P98" s="16"/>
      <c r="Q98" s="16"/>
      <c r="R98" s="16"/>
      <c r="S98" s="16"/>
      <c r="T98" s="16"/>
      <c r="U98" s="16"/>
      <c r="V98" s="16"/>
      <c r="W98" s="16"/>
      <c r="X98" s="16"/>
      <c r="Y98" s="16"/>
      <c r="Z98" s="28"/>
      <c r="AA98" s="10"/>
      <c r="AB98" s="10"/>
    </row>
    <row r="99" spans="2:28">
      <c r="B99" s="29" t="s">
        <v>36</v>
      </c>
      <c r="C99" s="26"/>
      <c r="D99" s="37"/>
      <c r="E99" s="43" t="s">
        <v>624</v>
      </c>
      <c r="F99" s="26"/>
      <c r="G99" s="49"/>
      <c r="H99" s="43" t="s">
        <v>625</v>
      </c>
      <c r="J99" s="20"/>
      <c r="K99" s="10"/>
      <c r="L99" s="10"/>
      <c r="M99" s="10"/>
      <c r="N99" s="13">
        <f>'Sd_Form 1'!$F$120/10</f>
        <v>0</v>
      </c>
      <c r="O99" s="19" t="s">
        <v>626</v>
      </c>
      <c r="P99" s="10"/>
      <c r="Q99" s="10"/>
      <c r="R99" s="30"/>
      <c r="S99" s="31"/>
      <c r="T99" s="31"/>
      <c r="U99" s="32"/>
      <c r="V99" s="10"/>
      <c r="W99" s="10"/>
      <c r="X99" s="10"/>
      <c r="Y99" s="10"/>
      <c r="Z99" s="17"/>
      <c r="AA99" s="10"/>
      <c r="AB99" s="10"/>
    </row>
    <row r="100" spans="2:28">
      <c r="B100" s="33"/>
      <c r="C100" s="10"/>
      <c r="D100" s="44"/>
      <c r="E100" s="45" t="s">
        <v>627</v>
      </c>
      <c r="F100" s="26"/>
      <c r="G100" s="50"/>
      <c r="H100" s="45" t="s">
        <v>628</v>
      </c>
      <c r="J100" s="20"/>
      <c r="K100" s="10"/>
      <c r="L100" s="10"/>
      <c r="M100" s="10"/>
      <c r="N100" s="13">
        <v>0</v>
      </c>
      <c r="O100" s="19" t="s">
        <v>10</v>
      </c>
      <c r="P100" s="10"/>
      <c r="Q100" s="10"/>
      <c r="R100" s="3"/>
      <c r="U100" s="4"/>
      <c r="V100" s="10"/>
      <c r="W100" s="10"/>
      <c r="X100" s="10"/>
      <c r="Y100" s="10"/>
      <c r="Z100" s="17"/>
      <c r="AA100" s="10"/>
      <c r="AB100" s="10"/>
    </row>
    <row r="101" spans="2:28">
      <c r="J101" s="20"/>
      <c r="K101" s="10"/>
      <c r="L101" s="10"/>
      <c r="M101" s="10"/>
      <c r="N101" s="10"/>
      <c r="O101" s="19"/>
      <c r="P101" s="10"/>
      <c r="Q101" s="10"/>
      <c r="R101" s="3"/>
      <c r="S101" s="122" t="s">
        <v>629</v>
      </c>
      <c r="T101" s="25" t="s">
        <v>630</v>
      </c>
      <c r="U101" s="4"/>
      <c r="V101" s="10"/>
      <c r="W101" s="10"/>
      <c r="X101" s="10"/>
      <c r="Y101" s="10"/>
      <c r="Z101" s="17"/>
      <c r="AA101" s="10"/>
      <c r="AB101" s="10"/>
    </row>
    <row r="102" spans="2:28">
      <c r="B102" s="24" t="s">
        <v>862</v>
      </c>
      <c r="C102" s="10"/>
      <c r="D102" s="115">
        <f>'Sd_Form 1'!F76*'Sd_Form 1'!F77</f>
        <v>0</v>
      </c>
      <c r="E102" s="46" t="s">
        <v>631</v>
      </c>
      <c r="F102" s="40"/>
      <c r="G102" s="13">
        <f>D102</f>
        <v>0</v>
      </c>
      <c r="H102" s="46" t="s">
        <v>631</v>
      </c>
      <c r="J102" s="20"/>
      <c r="K102" s="10"/>
      <c r="L102" s="10"/>
      <c r="M102" s="10"/>
      <c r="N102" s="13">
        <f>D102</f>
        <v>0</v>
      </c>
      <c r="O102" s="18" t="s">
        <v>10</v>
      </c>
      <c r="P102" s="10"/>
      <c r="Q102" s="10"/>
      <c r="R102" s="3"/>
      <c r="S102" s="10"/>
      <c r="T102" s="10"/>
      <c r="U102" s="4"/>
      <c r="V102" s="10"/>
      <c r="W102" s="10"/>
      <c r="X102" s="10"/>
      <c r="Y102" s="10"/>
      <c r="Z102" s="17"/>
      <c r="AA102" s="10"/>
      <c r="AB102" s="10"/>
    </row>
    <row r="103" spans="2:28">
      <c r="B103" s="33" t="s">
        <v>279</v>
      </c>
      <c r="C103" s="10"/>
      <c r="D103" s="124">
        <f>'Sd_Form 1'!F75</f>
        <v>0</v>
      </c>
      <c r="E103" s="47" t="s">
        <v>278</v>
      </c>
      <c r="F103" s="40"/>
      <c r="G103" s="13">
        <f>D103</f>
        <v>0</v>
      </c>
      <c r="H103" s="47" t="s">
        <v>278</v>
      </c>
      <c r="J103" s="20"/>
      <c r="K103" s="10"/>
      <c r="L103" s="10"/>
      <c r="M103" s="10"/>
      <c r="N103" s="10"/>
      <c r="O103" s="10"/>
      <c r="P103" s="10"/>
      <c r="Q103" s="10"/>
      <c r="R103" s="5"/>
      <c r="S103" s="36"/>
      <c r="T103" s="36"/>
      <c r="U103" s="6"/>
      <c r="V103" s="10"/>
      <c r="W103" s="10"/>
      <c r="X103" s="10"/>
      <c r="Y103" s="10"/>
      <c r="Z103" s="17"/>
      <c r="AA103" s="10"/>
      <c r="AB103" s="10"/>
    </row>
    <row r="104" spans="2:28">
      <c r="D104" s="7"/>
      <c r="J104" s="20"/>
      <c r="K104" s="10"/>
      <c r="L104" s="10"/>
      <c r="M104" s="10"/>
      <c r="N104" s="10"/>
      <c r="O104" s="10"/>
      <c r="P104" s="10"/>
      <c r="Q104" s="10" t="s">
        <v>632</v>
      </c>
      <c r="T104" s="109">
        <f>'Tech annexure'!$H$58-'Tech annexure'!$H$26</f>
        <v>0</v>
      </c>
      <c r="U104" s="10" t="s">
        <v>633</v>
      </c>
      <c r="V104" s="10"/>
      <c r="W104" s="10"/>
      <c r="X104" s="10"/>
      <c r="Y104" s="10"/>
      <c r="Z104" s="17"/>
      <c r="AA104" s="10" t="s">
        <v>634</v>
      </c>
      <c r="AB104" s="10"/>
    </row>
    <row r="105" spans="2:28">
      <c r="B105" s="24" t="s">
        <v>635</v>
      </c>
      <c r="C105" s="10"/>
      <c r="D105" s="115">
        <v>0</v>
      </c>
      <c r="E105" s="46" t="s">
        <v>636</v>
      </c>
      <c r="F105" s="40"/>
      <c r="G105" s="13">
        <v>0</v>
      </c>
      <c r="H105" s="46" t="s">
        <v>636</v>
      </c>
      <c r="I105" s="10"/>
      <c r="J105" s="20"/>
      <c r="K105" s="10"/>
      <c r="L105" s="10"/>
      <c r="M105" s="10"/>
      <c r="N105" s="10"/>
      <c r="O105" s="13"/>
      <c r="P105" s="109">
        <f>'Sd_Form 1'!$F$130</f>
        <v>0</v>
      </c>
      <c r="Q105" s="10" t="s">
        <v>858</v>
      </c>
      <c r="R105" s="10"/>
      <c r="T105" s="10"/>
      <c r="U105" s="10"/>
      <c r="V105" s="10"/>
      <c r="W105" s="10"/>
      <c r="X105" s="10"/>
      <c r="Y105" s="10"/>
      <c r="Z105" s="17"/>
      <c r="AA105" s="10" t="s">
        <v>637</v>
      </c>
      <c r="AB105" s="10"/>
    </row>
    <row r="106" spans="2:28">
      <c r="B106" s="33"/>
      <c r="C106" s="10"/>
      <c r="D106" s="115">
        <v>0</v>
      </c>
      <c r="E106" s="47" t="s">
        <v>652</v>
      </c>
      <c r="F106" s="40"/>
      <c r="G106" s="22">
        <v>0</v>
      </c>
      <c r="H106" s="47" t="s">
        <v>652</v>
      </c>
      <c r="I106" s="10"/>
      <c r="J106" s="20"/>
      <c r="K106" s="10"/>
      <c r="L106" s="10"/>
      <c r="M106" s="10"/>
      <c r="N106" s="10"/>
      <c r="O106" s="10"/>
      <c r="P106" s="10"/>
      <c r="Q106" s="10"/>
      <c r="R106" s="10"/>
      <c r="S106" s="10"/>
      <c r="T106" s="10"/>
      <c r="U106" s="10"/>
      <c r="V106" s="10"/>
      <c r="W106" s="10"/>
      <c r="X106" s="10"/>
      <c r="Y106" s="10"/>
      <c r="Z106" s="17"/>
      <c r="AA106" s="10"/>
      <c r="AB106" s="10"/>
    </row>
    <row r="107" spans="2:28">
      <c r="B107" s="10"/>
      <c r="C107" s="10"/>
      <c r="D107" s="117"/>
      <c r="E107" s="10"/>
      <c r="F107" s="10"/>
      <c r="G107" s="10"/>
      <c r="H107" s="10"/>
      <c r="I107" s="10"/>
      <c r="J107" s="20"/>
      <c r="K107" s="10"/>
      <c r="L107" s="10"/>
      <c r="M107" s="10"/>
      <c r="N107" s="10"/>
      <c r="O107" s="10"/>
      <c r="P107" s="10"/>
      <c r="Q107" s="10"/>
      <c r="R107" s="10"/>
      <c r="S107" s="10"/>
      <c r="T107" s="10"/>
      <c r="U107" s="10" t="s">
        <v>638</v>
      </c>
      <c r="V107" s="10"/>
      <c r="W107" s="10"/>
      <c r="X107" s="10"/>
      <c r="Y107" s="10"/>
      <c r="Z107" s="17"/>
      <c r="AA107" s="10"/>
      <c r="AB107" s="52"/>
    </row>
    <row r="108" spans="2:28">
      <c r="B108" s="24" t="s">
        <v>584</v>
      </c>
      <c r="C108" s="10"/>
      <c r="D108" s="115">
        <v>0</v>
      </c>
      <c r="E108" s="46" t="s">
        <v>631</v>
      </c>
      <c r="F108" s="40"/>
      <c r="G108" s="109">
        <v>0</v>
      </c>
      <c r="H108" s="46" t="s">
        <v>631</v>
      </c>
      <c r="I108" s="10"/>
      <c r="J108" s="20"/>
      <c r="K108" s="10"/>
      <c r="L108" s="10"/>
      <c r="M108" s="10"/>
      <c r="N108" s="10"/>
      <c r="O108" s="10"/>
      <c r="P108" s="10"/>
      <c r="Q108" s="10"/>
      <c r="R108" s="10"/>
      <c r="S108" s="10"/>
      <c r="T108" s="13"/>
      <c r="U108" s="10" t="s">
        <v>639</v>
      </c>
      <c r="V108" s="10"/>
      <c r="W108" s="10"/>
      <c r="X108" s="10"/>
      <c r="Y108" s="10"/>
      <c r="Z108" s="17"/>
      <c r="AA108" s="10"/>
      <c r="AB108" s="10"/>
    </row>
    <row r="109" spans="2:28">
      <c r="B109" s="33"/>
      <c r="C109" s="10"/>
      <c r="D109" s="116">
        <v>0</v>
      </c>
      <c r="E109" s="47" t="s">
        <v>668</v>
      </c>
      <c r="F109" s="40"/>
      <c r="G109" s="51">
        <v>0</v>
      </c>
      <c r="H109" s="47" t="s">
        <v>668</v>
      </c>
      <c r="I109" s="10"/>
      <c r="J109" s="20"/>
      <c r="K109" s="10"/>
      <c r="L109" s="10"/>
      <c r="M109" s="10"/>
      <c r="N109" s="10"/>
      <c r="O109" s="10"/>
      <c r="P109" s="10"/>
      <c r="Q109" s="109">
        <f>'Tech annexure'!$H$26</f>
        <v>0</v>
      </c>
      <c r="R109" s="10"/>
      <c r="S109" s="10"/>
      <c r="T109" s="10"/>
      <c r="U109" s="10"/>
      <c r="V109" s="10"/>
      <c r="W109" s="10"/>
      <c r="X109" s="10"/>
      <c r="Y109" s="10"/>
      <c r="Z109" s="17"/>
      <c r="AA109" s="10"/>
      <c r="AB109" s="10"/>
    </row>
    <row r="110" spans="2:28">
      <c r="J110" s="20"/>
      <c r="K110" s="10"/>
      <c r="L110" s="10"/>
      <c r="M110" s="10"/>
      <c r="N110" s="109">
        <f>'Tech annexure'!$H$30</f>
        <v>0</v>
      </c>
      <c r="O110" s="10" t="s">
        <v>859</v>
      </c>
      <c r="P110" s="10"/>
      <c r="Q110" s="10" t="s">
        <v>10</v>
      </c>
      <c r="R110" s="10"/>
      <c r="S110" s="10"/>
      <c r="T110" s="10"/>
      <c r="U110" s="10"/>
      <c r="V110" s="10"/>
      <c r="W110" s="10"/>
      <c r="X110" s="10"/>
      <c r="Y110" s="109">
        <f>'Tech annexure'!$H$66</f>
        <v>0</v>
      </c>
      <c r="Z110" s="17"/>
      <c r="AA110" s="10"/>
      <c r="AB110" s="10"/>
    </row>
    <row r="111" spans="2:28">
      <c r="J111" s="20"/>
      <c r="K111" s="10"/>
      <c r="L111" s="10"/>
      <c r="M111" s="10"/>
      <c r="N111" s="10"/>
      <c r="P111" s="10"/>
      <c r="Q111" s="10"/>
      <c r="R111" s="10"/>
      <c r="S111" s="10"/>
      <c r="T111" s="10"/>
      <c r="U111" s="10"/>
      <c r="V111" s="109">
        <f>'Tech annexure'!$H$58</f>
        <v>0</v>
      </c>
      <c r="W111" s="19" t="s">
        <v>10</v>
      </c>
      <c r="X111" s="10"/>
      <c r="Y111" s="10" t="s">
        <v>550</v>
      </c>
      <c r="Z111" s="17"/>
      <c r="AA111" s="10"/>
      <c r="AB111" s="10"/>
    </row>
    <row r="112" spans="2:28">
      <c r="J112" s="20"/>
      <c r="K112" s="10"/>
      <c r="L112" s="19" t="s">
        <v>563</v>
      </c>
      <c r="M112" s="109">
        <f>'Tech annexure'!$H$16</f>
        <v>0</v>
      </c>
      <c r="N112" s="10" t="s">
        <v>10</v>
      </c>
      <c r="O112" s="30"/>
      <c r="P112" s="31"/>
      <c r="Q112" s="32"/>
      <c r="R112" s="10"/>
      <c r="S112" s="10"/>
      <c r="T112" s="10"/>
      <c r="U112" s="10"/>
      <c r="V112" s="10"/>
      <c r="W112" s="10"/>
      <c r="X112" s="10"/>
      <c r="Y112" s="10"/>
      <c r="Z112" s="17"/>
      <c r="AA112" s="10"/>
      <c r="AB112" s="10"/>
    </row>
    <row r="113" spans="2:28">
      <c r="J113" s="20"/>
      <c r="K113" s="10"/>
      <c r="L113" s="10"/>
      <c r="M113" s="10"/>
      <c r="N113" s="10"/>
      <c r="O113" s="3"/>
      <c r="P113" s="10"/>
      <c r="Q113" s="4"/>
      <c r="R113" s="10"/>
      <c r="S113" s="10"/>
      <c r="T113" s="10"/>
      <c r="U113" s="10"/>
      <c r="V113" s="10"/>
      <c r="W113" s="10"/>
      <c r="X113" s="10"/>
      <c r="Y113" s="10"/>
      <c r="Z113" s="17"/>
      <c r="AA113" s="10"/>
      <c r="AB113" s="10"/>
    </row>
    <row r="114" spans="2:28">
      <c r="B114" s="24" t="s">
        <v>640</v>
      </c>
      <c r="C114" s="10"/>
      <c r="D114" s="118" t="e">
        <f>'Sd_Form 1'!$F$245/10/'Tech annexure'!$H$52</f>
        <v>#DIV/0!</v>
      </c>
      <c r="E114" s="34" t="s">
        <v>191</v>
      </c>
      <c r="F114" s="40"/>
      <c r="G114" s="118" t="e">
        <f>'Sd_Form 1'!$F$246/10/'Tech annexure'!$H$52</f>
        <v>#DIV/0!</v>
      </c>
      <c r="H114" s="34" t="s">
        <v>191</v>
      </c>
      <c r="J114" s="20"/>
      <c r="K114" s="10"/>
      <c r="L114" s="19" t="s">
        <v>563</v>
      </c>
      <c r="M114" s="109">
        <f>'Tech annexure'!$H$14</f>
        <v>0</v>
      </c>
      <c r="N114" s="10" t="s">
        <v>180</v>
      </c>
      <c r="O114" s="3"/>
      <c r="P114" s="10"/>
      <c r="Q114" s="4"/>
      <c r="R114" s="10"/>
      <c r="S114" s="10"/>
      <c r="T114" s="10"/>
      <c r="U114" s="10"/>
      <c r="V114" s="10"/>
      <c r="W114" s="30"/>
      <c r="X114" s="31"/>
      <c r="Y114" s="32"/>
      <c r="Z114" s="17"/>
      <c r="AA114" s="1440" t="s">
        <v>641</v>
      </c>
      <c r="AB114" s="1441"/>
    </row>
    <row r="115" spans="2:28">
      <c r="B115" s="33" t="s">
        <v>279</v>
      </c>
      <c r="C115" s="10"/>
      <c r="D115" s="108">
        <f>'Tech annexure'!$I$17</f>
        <v>0</v>
      </c>
      <c r="E115" s="35" t="s">
        <v>198</v>
      </c>
      <c r="F115" s="40"/>
      <c r="G115" s="119">
        <f>D115</f>
        <v>0</v>
      </c>
      <c r="H115" s="35" t="s">
        <v>198</v>
      </c>
      <c r="J115" s="20"/>
      <c r="K115" s="10"/>
      <c r="L115" s="10"/>
      <c r="M115" s="10"/>
      <c r="N115" s="10"/>
      <c r="O115" s="1442" t="s">
        <v>2</v>
      </c>
      <c r="P115" s="1441"/>
      <c r="Q115" s="1443"/>
      <c r="R115" s="10"/>
      <c r="S115" s="10"/>
      <c r="T115" s="10"/>
      <c r="U115" s="10" t="s">
        <v>2</v>
      </c>
      <c r="V115" s="10"/>
      <c r="W115" s="3"/>
      <c r="X115" s="122" t="s">
        <v>3</v>
      </c>
      <c r="Y115" s="4"/>
      <c r="Z115" s="17"/>
      <c r="AA115" s="10"/>
      <c r="AB115" s="10" t="s">
        <v>10</v>
      </c>
    </row>
    <row r="116" spans="2:28">
      <c r="J116" s="20"/>
      <c r="K116" s="10"/>
      <c r="L116" s="10" t="s">
        <v>642</v>
      </c>
      <c r="M116" s="109">
        <f>'Tech annexure'!$H$13</f>
        <v>0</v>
      </c>
      <c r="N116" s="10" t="s">
        <v>180</v>
      </c>
      <c r="O116" s="1442" t="s">
        <v>643</v>
      </c>
      <c r="P116" s="1441"/>
      <c r="Q116" s="1443"/>
      <c r="R116" s="10"/>
      <c r="S116" s="10"/>
      <c r="T116" s="10"/>
      <c r="U116" s="120">
        <f>'Tech annexure'!$H$62</f>
        <v>0</v>
      </c>
      <c r="V116" s="10"/>
      <c r="W116" s="3"/>
      <c r="X116" s="122" t="s">
        <v>643</v>
      </c>
      <c r="Y116" s="4"/>
      <c r="Z116" s="10"/>
      <c r="AA116" s="109">
        <f>'Tech annexure'!$H$51</f>
        <v>0</v>
      </c>
      <c r="AB116" s="10"/>
    </row>
    <row r="117" spans="2:28">
      <c r="B117" s="34" t="s">
        <v>644</v>
      </c>
      <c r="C117" s="40"/>
      <c r="D117" s="121" t="e">
        <f>'Sd_Form 1'!$F$256/'Sd_Form 1'!$F$254</f>
        <v>#DIV/0!</v>
      </c>
      <c r="E117" s="34" t="s">
        <v>669</v>
      </c>
      <c r="F117" s="40"/>
      <c r="G117" s="121" t="e">
        <f>'Sd_Form 1'!$F$257/'Sd_Form 1'!$F$254</f>
        <v>#DIV/0!</v>
      </c>
      <c r="H117" s="34" t="s">
        <v>645</v>
      </c>
      <c r="J117" s="20"/>
      <c r="K117" s="10"/>
      <c r="L117" s="10"/>
      <c r="M117" s="10"/>
      <c r="N117" s="10"/>
      <c r="O117" s="3"/>
      <c r="P117" s="10"/>
      <c r="Q117" s="4"/>
      <c r="R117" s="10"/>
      <c r="S117" s="10"/>
      <c r="T117" s="10"/>
      <c r="U117" s="10"/>
      <c r="V117" s="10"/>
      <c r="W117" s="3"/>
      <c r="X117" s="10"/>
      <c r="Y117" s="4"/>
      <c r="Z117" s="17"/>
      <c r="AA117" s="10"/>
      <c r="AB117" s="10"/>
    </row>
    <row r="118" spans="2:28">
      <c r="B118" s="33" t="s">
        <v>279</v>
      </c>
      <c r="C118" s="10"/>
      <c r="D118" s="119">
        <f>'Sd_Form 1'!$F$253</f>
        <v>0</v>
      </c>
      <c r="E118" s="35" t="s">
        <v>278</v>
      </c>
      <c r="F118" s="40"/>
      <c r="G118" s="119">
        <f>D118</f>
        <v>0</v>
      </c>
      <c r="H118" s="35" t="s">
        <v>278</v>
      </c>
      <c r="J118" s="20"/>
      <c r="K118" s="10"/>
      <c r="L118" s="10" t="s">
        <v>642</v>
      </c>
      <c r="M118" s="109">
        <f>'Tech annexure'!$H$15</f>
        <v>0</v>
      </c>
      <c r="N118" s="10" t="s">
        <v>10</v>
      </c>
      <c r="O118" s="3"/>
      <c r="P118" s="10"/>
      <c r="Q118" s="4"/>
      <c r="R118" s="10"/>
      <c r="S118" s="10"/>
      <c r="T118" s="10"/>
      <c r="U118" s="10"/>
      <c r="V118" s="10"/>
      <c r="W118" s="5"/>
      <c r="X118" s="36"/>
      <c r="Y118" s="6"/>
      <c r="Z118" s="17"/>
      <c r="AA118" s="10"/>
      <c r="AB118" s="10"/>
    </row>
    <row r="119" spans="2:28">
      <c r="B119" s="10"/>
      <c r="C119" s="10"/>
      <c r="D119" s="10"/>
      <c r="E119" s="10"/>
      <c r="F119" s="10"/>
      <c r="G119" s="10"/>
      <c r="H119" s="10"/>
      <c r="J119" s="20"/>
      <c r="K119" s="10"/>
      <c r="L119" s="10"/>
      <c r="N119" s="10"/>
      <c r="O119" s="3"/>
      <c r="P119" s="10"/>
      <c r="Q119" s="4"/>
      <c r="R119" s="10"/>
      <c r="S119" s="10"/>
      <c r="V119" s="10"/>
      <c r="W119" s="10"/>
      <c r="X119" s="10"/>
      <c r="Y119" s="10"/>
      <c r="Z119" s="17"/>
      <c r="AA119" s="1440" t="s">
        <v>2</v>
      </c>
      <c r="AB119" s="1441"/>
    </row>
    <row r="120" spans="2:28">
      <c r="J120" s="20"/>
      <c r="K120" s="10"/>
      <c r="L120" s="10"/>
      <c r="M120" s="10"/>
      <c r="N120" s="10"/>
      <c r="O120" s="5"/>
      <c r="P120" s="36"/>
      <c r="Q120" s="6"/>
      <c r="R120" s="10"/>
      <c r="S120" s="10"/>
      <c r="T120" s="10"/>
      <c r="U120" s="10"/>
      <c r="W120" s="10"/>
      <c r="X120" s="10"/>
      <c r="Y120" s="10"/>
      <c r="Z120" s="17"/>
      <c r="AA120" s="10"/>
      <c r="AB120" s="10"/>
    </row>
    <row r="121" spans="2:28">
      <c r="J121" s="20"/>
      <c r="K121" s="10"/>
      <c r="L121" s="10"/>
      <c r="M121" s="10"/>
      <c r="N121" s="10"/>
      <c r="O121" s="10"/>
      <c r="P121" s="10"/>
      <c r="Q121" s="10"/>
      <c r="R121" s="10"/>
      <c r="S121" s="13"/>
      <c r="T121" s="10"/>
      <c r="U121" s="10"/>
      <c r="V121" s="109" t="e">
        <f>'Tech annexure'!$H$45</f>
        <v>#DIV/0!</v>
      </c>
      <c r="W121" s="10" t="s">
        <v>646</v>
      </c>
      <c r="X121" s="10"/>
      <c r="Y121" s="10"/>
      <c r="Z121" s="17"/>
      <c r="AA121" s="10" t="s">
        <v>647</v>
      </c>
      <c r="AB121" s="10"/>
    </row>
    <row r="122" spans="2:28">
      <c r="J122" s="20"/>
      <c r="K122" s="10"/>
      <c r="L122" s="10"/>
      <c r="M122" s="10"/>
      <c r="N122" s="10"/>
      <c r="O122" s="10"/>
      <c r="P122" s="10"/>
      <c r="Q122" s="10"/>
      <c r="R122" s="10"/>
      <c r="S122" s="10" t="s">
        <v>648</v>
      </c>
      <c r="T122" s="10"/>
      <c r="U122" s="10"/>
      <c r="V122" s="10"/>
      <c r="W122" s="10"/>
      <c r="X122" s="10"/>
      <c r="Y122" s="10"/>
      <c r="Z122" s="17"/>
      <c r="AA122" s="10" t="s">
        <v>649</v>
      </c>
      <c r="AB122" s="13"/>
    </row>
    <row r="123" spans="2:28">
      <c r="J123" s="20"/>
      <c r="K123" s="10"/>
      <c r="L123" s="10"/>
      <c r="M123" s="10"/>
      <c r="N123" s="10"/>
      <c r="O123" s="10"/>
      <c r="P123" s="10"/>
      <c r="Q123" s="10"/>
      <c r="R123" s="10"/>
      <c r="S123" s="10"/>
      <c r="T123" s="10"/>
      <c r="U123" s="10"/>
      <c r="V123" s="10"/>
      <c r="W123" s="10"/>
      <c r="X123" s="10"/>
      <c r="Y123" s="10"/>
      <c r="Z123" s="17"/>
      <c r="AA123" s="10"/>
      <c r="AB123" s="10"/>
    </row>
    <row r="124" spans="2:28">
      <c r="J124" s="20"/>
      <c r="K124" s="10"/>
      <c r="L124" s="10"/>
      <c r="M124" s="10"/>
      <c r="N124" s="13">
        <f>('Sd_Form 1'!$F$245-'Sd_Form 1'!$F$246)/10</f>
        <v>0</v>
      </c>
      <c r="O124" s="10" t="s">
        <v>180</v>
      </c>
      <c r="P124" s="10"/>
      <c r="Q124" s="10"/>
      <c r="R124" s="30"/>
      <c r="S124" s="31"/>
      <c r="T124" s="32"/>
      <c r="U124" s="10"/>
      <c r="V124" s="10"/>
      <c r="W124" s="10"/>
      <c r="X124" s="10"/>
      <c r="Y124" s="10"/>
      <c r="Z124" s="17"/>
      <c r="AA124" s="10"/>
      <c r="AB124" s="10"/>
    </row>
    <row r="125" spans="2:28">
      <c r="J125" s="20"/>
      <c r="K125" s="10"/>
      <c r="L125" s="10"/>
      <c r="M125" s="10"/>
      <c r="N125" s="10"/>
      <c r="O125" s="10"/>
      <c r="P125" s="10"/>
      <c r="Q125" s="10"/>
      <c r="R125" s="37"/>
      <c r="S125" s="122" t="s">
        <v>650</v>
      </c>
      <c r="T125" s="38"/>
      <c r="U125" s="10"/>
      <c r="V125" s="10"/>
      <c r="W125" s="10"/>
      <c r="X125" s="10"/>
      <c r="Y125" s="10"/>
      <c r="Z125" s="17"/>
      <c r="AA125" s="10"/>
      <c r="AB125" s="10"/>
    </row>
    <row r="126" spans="2:28">
      <c r="J126" s="20"/>
      <c r="K126" s="10"/>
      <c r="L126" s="10"/>
      <c r="M126" s="10"/>
      <c r="N126" s="109">
        <f>'Sd_Form 1'!$F$256-'Sd_Form 1'!$F$257</f>
        <v>0</v>
      </c>
      <c r="O126" s="10"/>
      <c r="P126" s="10"/>
      <c r="Q126" s="10"/>
      <c r="R126" s="37"/>
      <c r="S126" s="122" t="s">
        <v>651</v>
      </c>
      <c r="T126" s="38"/>
      <c r="U126" s="10"/>
      <c r="V126" s="10"/>
      <c r="W126" s="10"/>
      <c r="X126" s="10"/>
      <c r="Y126" s="10"/>
      <c r="Z126" s="17"/>
      <c r="AA126" s="10"/>
      <c r="AB126" s="10"/>
    </row>
    <row r="127" spans="2:28">
      <c r="J127" s="20"/>
      <c r="K127" s="10"/>
      <c r="L127" s="10"/>
      <c r="M127" s="10"/>
      <c r="N127" s="10"/>
      <c r="O127" s="10"/>
      <c r="P127" s="10"/>
      <c r="Q127" s="10"/>
      <c r="R127" s="5"/>
      <c r="S127" s="36"/>
      <c r="T127" s="6"/>
      <c r="U127" s="10"/>
      <c r="V127" s="10"/>
      <c r="W127" s="10"/>
      <c r="X127" s="10"/>
      <c r="Y127" s="10"/>
      <c r="Z127" s="17"/>
      <c r="AA127" s="10"/>
      <c r="AB127" s="10"/>
    </row>
    <row r="128" spans="2:28" ht="15.75" thickBot="1">
      <c r="J128" s="39"/>
      <c r="K128" s="11"/>
      <c r="L128" s="11"/>
      <c r="M128" s="11"/>
      <c r="N128" s="11"/>
      <c r="O128" s="11"/>
      <c r="P128" s="11"/>
      <c r="Q128" s="11"/>
      <c r="R128" s="11"/>
      <c r="S128" s="11"/>
      <c r="T128" s="11"/>
      <c r="U128" s="11"/>
      <c r="V128" s="11"/>
      <c r="W128" s="11"/>
      <c r="X128" s="11"/>
      <c r="Y128" s="11"/>
      <c r="Z128" s="15"/>
      <c r="AA128" s="10"/>
      <c r="AB128" s="10"/>
    </row>
  </sheetData>
  <customSheetViews>
    <customSheetView guid="{5D90FF31-AD5C-4A69-A320-8978B095DFD4}">
      <pageMargins left="0.7" right="0.7" top="0.75" bottom="0.75" header="0.3" footer="0.3"/>
    </customSheetView>
  </customSheetViews>
  <mergeCells count="12">
    <mergeCell ref="AA119:AB119"/>
    <mergeCell ref="AA25:AB25"/>
    <mergeCell ref="O26:Q26"/>
    <mergeCell ref="O27:Q27"/>
    <mergeCell ref="AA30:AB30"/>
    <mergeCell ref="AA70:AB70"/>
    <mergeCell ref="O71:Q71"/>
    <mergeCell ref="O72:Q72"/>
    <mergeCell ref="AA75:AB75"/>
    <mergeCell ref="AA114:AB114"/>
    <mergeCell ref="O115:Q115"/>
    <mergeCell ref="O116:Q1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99"/>
  <sheetViews>
    <sheetView topLeftCell="A73" zoomScale="84" zoomScaleNormal="84" zoomScaleSheetLayoutView="84" workbookViewId="0">
      <selection activeCell="A89" sqref="A89:H96"/>
    </sheetView>
  </sheetViews>
  <sheetFormatPr defaultRowHeight="15"/>
  <cols>
    <col min="1" max="1" width="9.140625" style="64"/>
    <col min="2" max="2" width="59.7109375" style="64" customWidth="1"/>
    <col min="3" max="3" width="19.5703125" style="64" customWidth="1"/>
    <col min="4" max="8" width="16.7109375" style="64" customWidth="1"/>
    <col min="9" max="9" width="9.140625" style="64"/>
    <col min="10" max="10" width="17.85546875" style="64" customWidth="1"/>
    <col min="11" max="16384" width="9.140625" style="64"/>
  </cols>
  <sheetData>
    <row r="1" spans="1:10" ht="15.75">
      <c r="A1" s="1340" t="s">
        <v>680</v>
      </c>
      <c r="B1" s="1341"/>
      <c r="C1" s="1341"/>
      <c r="D1" s="1341"/>
      <c r="E1" s="1341"/>
      <c r="F1" s="1341"/>
      <c r="G1" s="1341"/>
      <c r="H1" s="1342"/>
    </row>
    <row r="2" spans="1:10" ht="16.5" thickBot="1">
      <c r="A2" s="1343" t="s">
        <v>681</v>
      </c>
      <c r="B2" s="1343"/>
      <c r="C2" s="1343"/>
      <c r="D2" s="1343"/>
      <c r="E2" s="1343"/>
      <c r="F2" s="1343"/>
      <c r="G2" s="1343"/>
      <c r="H2" s="1343"/>
    </row>
    <row r="3" spans="1:10" ht="15.75">
      <c r="A3" s="1343" t="s">
        <v>682</v>
      </c>
      <c r="B3" s="1343"/>
      <c r="C3" s="1343"/>
      <c r="D3" s="1343"/>
      <c r="E3" s="1343"/>
      <c r="F3" s="1343"/>
      <c r="G3" s="1343"/>
      <c r="H3" s="1343"/>
      <c r="J3" s="394" t="s">
        <v>891</v>
      </c>
    </row>
    <row r="4" spans="1:10" ht="15.75">
      <c r="A4" s="421" t="s">
        <v>683</v>
      </c>
      <c r="B4" s="422" t="s">
        <v>684</v>
      </c>
      <c r="C4" s="1344" t="s">
        <v>36</v>
      </c>
      <c r="D4" s="1344"/>
      <c r="E4" s="1344"/>
      <c r="F4" s="1344"/>
      <c r="G4" s="1344"/>
      <c r="H4" s="1344"/>
      <c r="J4" s="395" t="s">
        <v>889</v>
      </c>
    </row>
    <row r="5" spans="1:10">
      <c r="A5" s="668">
        <v>1</v>
      </c>
      <c r="B5" s="665" t="s">
        <v>685</v>
      </c>
      <c r="C5" s="1345"/>
      <c r="D5" s="1345"/>
      <c r="E5" s="1345"/>
      <c r="F5" s="1345"/>
      <c r="G5" s="1345"/>
      <c r="H5" s="1345"/>
      <c r="J5" s="396" t="s">
        <v>890</v>
      </c>
    </row>
    <row r="6" spans="1:10" ht="15.75" thickBot="1">
      <c r="A6" s="668" t="s">
        <v>686</v>
      </c>
      <c r="B6" s="665" t="s">
        <v>687</v>
      </c>
      <c r="C6" s="1345"/>
      <c r="D6" s="1345"/>
      <c r="E6" s="1345"/>
      <c r="F6" s="1345"/>
      <c r="G6" s="1345"/>
      <c r="H6" s="1345"/>
      <c r="J6" s="397" t="s">
        <v>958</v>
      </c>
    </row>
    <row r="7" spans="1:10" ht="28.5">
      <c r="A7" s="60" t="s">
        <v>688</v>
      </c>
      <c r="B7" s="60" t="s">
        <v>689</v>
      </c>
      <c r="C7" s="1346"/>
      <c r="D7" s="1347"/>
      <c r="E7" s="1348"/>
      <c r="F7" s="1348"/>
      <c r="G7" s="1348"/>
      <c r="H7" s="1349"/>
    </row>
    <row r="8" spans="1:10">
      <c r="A8" s="1350">
        <v>3</v>
      </c>
      <c r="B8" s="1351" t="s">
        <v>690</v>
      </c>
      <c r="C8" s="1352" t="s">
        <v>691</v>
      </c>
      <c r="D8" s="1352"/>
      <c r="E8" s="1352"/>
      <c r="F8" s="666"/>
      <c r="G8" s="666"/>
      <c r="H8" s="1082" t="s">
        <v>692</v>
      </c>
    </row>
    <row r="9" spans="1:10">
      <c r="A9" s="1350"/>
      <c r="B9" s="1351"/>
      <c r="C9" s="1352" t="str">
        <f>'General Information'!A2:A2</f>
        <v>Sector - Fertilizer Sector</v>
      </c>
      <c r="D9" s="1352"/>
      <c r="E9" s="1352"/>
      <c r="F9" s="666"/>
      <c r="G9" s="666"/>
      <c r="H9" s="1082" t="str">
        <f>'General Information'!G6</f>
        <v>UREA</v>
      </c>
    </row>
    <row r="10" spans="1:10" ht="44.25">
      <c r="A10" s="668" t="s">
        <v>693</v>
      </c>
      <c r="B10" s="665" t="s">
        <v>694</v>
      </c>
      <c r="C10" s="1339"/>
      <c r="D10" s="1339"/>
      <c r="E10" s="1339"/>
      <c r="F10" s="1339"/>
      <c r="G10" s="1339"/>
      <c r="H10" s="1339"/>
    </row>
    <row r="11" spans="1:10" ht="27" customHeight="1">
      <c r="A11" s="668" t="s">
        <v>29</v>
      </c>
      <c r="B11" s="1083" t="s">
        <v>695</v>
      </c>
      <c r="C11" s="1345"/>
      <c r="D11" s="1345"/>
      <c r="E11" s="1345"/>
      <c r="F11" s="1345"/>
      <c r="G11" s="1345"/>
      <c r="H11" s="1345"/>
    </row>
    <row r="12" spans="1:10" ht="29.25" thickBot="1">
      <c r="A12" s="668" t="s">
        <v>207</v>
      </c>
      <c r="B12" s="1083" t="s">
        <v>696</v>
      </c>
      <c r="C12" s="1353"/>
      <c r="D12" s="1354"/>
      <c r="E12" s="1354"/>
      <c r="F12" s="1354"/>
      <c r="G12" s="1354"/>
      <c r="H12" s="1355"/>
    </row>
    <row r="13" spans="1:10" ht="45" customHeight="1">
      <c r="A13" s="1274" t="s">
        <v>697</v>
      </c>
      <c r="B13" s="1281" t="s">
        <v>698</v>
      </c>
      <c r="C13" s="955"/>
      <c r="D13" s="316" t="s">
        <v>884</v>
      </c>
      <c r="E13" s="1360" t="s">
        <v>932</v>
      </c>
      <c r="F13" s="1361"/>
      <c r="G13" s="315" t="s">
        <v>1028</v>
      </c>
      <c r="H13" s="1280" t="s">
        <v>1029</v>
      </c>
    </row>
    <row r="14" spans="1:10" ht="33" customHeight="1">
      <c r="A14" s="1282">
        <v>5</v>
      </c>
      <c r="B14" s="429" t="s">
        <v>699</v>
      </c>
      <c r="C14" s="1283"/>
      <c r="D14" s="1284" t="s">
        <v>43</v>
      </c>
      <c r="E14" s="1285" t="s">
        <v>886</v>
      </c>
      <c r="F14" s="1285" t="s">
        <v>887</v>
      </c>
      <c r="G14" s="1285" t="s">
        <v>1025</v>
      </c>
      <c r="H14" s="1286" t="s">
        <v>1026</v>
      </c>
    </row>
    <row r="15" spans="1:10">
      <c r="A15" s="673"/>
      <c r="B15" s="415" t="s">
        <v>700</v>
      </c>
      <c r="C15" s="56" t="s">
        <v>37</v>
      </c>
      <c r="D15" s="56"/>
      <c r="E15" s="56"/>
      <c r="F15" s="56"/>
      <c r="G15" s="56"/>
      <c r="H15" s="56"/>
    </row>
    <row r="16" spans="1:10">
      <c r="A16" s="428" t="s">
        <v>683</v>
      </c>
      <c r="B16" s="429" t="str">
        <f>'Tech annexure'!C7</f>
        <v>Ammonia Plant</v>
      </c>
      <c r="C16" s="56"/>
      <c r="D16" s="56"/>
      <c r="E16" s="56"/>
      <c r="F16" s="56"/>
      <c r="G16" s="56"/>
      <c r="H16" s="56"/>
    </row>
    <row r="17" spans="1:8">
      <c r="A17" s="673" t="s">
        <v>27</v>
      </c>
      <c r="B17" s="57" t="str">
        <f>'Sd_Form 1'!C12</f>
        <v>Installed capacity</v>
      </c>
      <c r="C17" s="668" t="s">
        <v>851</v>
      </c>
      <c r="D17" s="430">
        <f>'Sd_Form 1'!E12</f>
        <v>0</v>
      </c>
      <c r="E17" s="430">
        <f>'Sd_Form 1'!F12</f>
        <v>0</v>
      </c>
      <c r="F17" s="430">
        <f>'Sd_Form 1'!G12</f>
        <v>0</v>
      </c>
      <c r="G17" s="430">
        <f>'Sd_Form 1'!H12</f>
        <v>0</v>
      </c>
      <c r="H17" s="430">
        <f>'Sd_Form 1'!I12</f>
        <v>0</v>
      </c>
    </row>
    <row r="18" spans="1:8">
      <c r="A18" s="673" t="s">
        <v>29</v>
      </c>
      <c r="B18" s="57" t="str">
        <f>'Sd_Form 1'!C13</f>
        <v>Re-assessed capacity</v>
      </c>
      <c r="C18" s="668" t="s">
        <v>851</v>
      </c>
      <c r="D18" s="430">
        <f>'Sd_Form 1'!E13</f>
        <v>0</v>
      </c>
      <c r="E18" s="430">
        <f>'Sd_Form 1'!F13</f>
        <v>0</v>
      </c>
      <c r="F18" s="430">
        <f>'Sd_Form 1'!G13</f>
        <v>0</v>
      </c>
      <c r="G18" s="430">
        <f>'Sd_Form 1'!H13</f>
        <v>0</v>
      </c>
      <c r="H18" s="430">
        <f>'Sd_Form 1'!I13</f>
        <v>0</v>
      </c>
    </row>
    <row r="19" spans="1:8">
      <c r="A19" s="423" t="s">
        <v>207</v>
      </c>
      <c r="B19" s="424" t="s">
        <v>51</v>
      </c>
      <c r="C19" s="668" t="s">
        <v>851</v>
      </c>
      <c r="D19" s="430">
        <f>'Sd_Form 1'!E14</f>
        <v>0</v>
      </c>
      <c r="E19" s="430">
        <f>'Sd_Form 1'!F14</f>
        <v>0</v>
      </c>
      <c r="F19" s="430">
        <f>'Sd_Form 1'!G14</f>
        <v>0</v>
      </c>
      <c r="G19" s="430">
        <f>'Sd_Form 1'!H14</f>
        <v>0</v>
      </c>
      <c r="H19" s="430">
        <f>'Sd_Form 1'!I14</f>
        <v>0</v>
      </c>
    </row>
    <row r="20" spans="1:8">
      <c r="A20" s="426" t="s">
        <v>86</v>
      </c>
      <c r="B20" s="427" t="str">
        <f>'Tech annexure'!C11</f>
        <v>Production</v>
      </c>
      <c r="C20" s="56" t="s">
        <v>851</v>
      </c>
      <c r="D20" s="430">
        <f>'Sd_Form 1'!E16</f>
        <v>0</v>
      </c>
      <c r="E20" s="430">
        <f>'Sd_Form 1'!F16</f>
        <v>0</v>
      </c>
      <c r="F20" s="430">
        <f>'Sd_Form 1'!G16</f>
        <v>0</v>
      </c>
      <c r="G20" s="430">
        <f>'Sd_Form 1'!H16</f>
        <v>0</v>
      </c>
      <c r="H20" s="430">
        <f>'Sd_Form 1'!I16</f>
        <v>0</v>
      </c>
    </row>
    <row r="21" spans="1:8" ht="18.75">
      <c r="A21" s="428" t="s">
        <v>697</v>
      </c>
      <c r="B21" s="406" t="s">
        <v>581</v>
      </c>
      <c r="C21" s="668"/>
      <c r="D21" s="668"/>
      <c r="E21" s="58"/>
      <c r="F21" s="58"/>
      <c r="G21" s="58"/>
      <c r="H21" s="58"/>
    </row>
    <row r="22" spans="1:8">
      <c r="A22" s="423" t="s">
        <v>27</v>
      </c>
      <c r="B22" s="424" t="str">
        <f>'Sd_Form 1'!C20</f>
        <v>Installed capacity</v>
      </c>
      <c r="C22" s="668" t="s">
        <v>851</v>
      </c>
      <c r="D22" s="430">
        <f>'Sd_Form 1'!E20</f>
        <v>0</v>
      </c>
      <c r="E22" s="430">
        <f>'Sd_Form 1'!F20</f>
        <v>0</v>
      </c>
      <c r="F22" s="430">
        <f>'Sd_Form 1'!G20</f>
        <v>0</v>
      </c>
      <c r="G22" s="430">
        <f>'Sd_Form 1'!H20</f>
        <v>0</v>
      </c>
      <c r="H22" s="430">
        <f>'Sd_Form 1'!I20</f>
        <v>0</v>
      </c>
    </row>
    <row r="23" spans="1:8">
      <c r="A23" s="423" t="s">
        <v>29</v>
      </c>
      <c r="B23" s="424" t="str">
        <f>'Sd_Form 1'!C21</f>
        <v>Re-assesed capacity</v>
      </c>
      <c r="C23" s="668" t="s">
        <v>851</v>
      </c>
      <c r="D23" s="430">
        <f>'Sd_Form 1'!E21</f>
        <v>0</v>
      </c>
      <c r="E23" s="430">
        <f>'Sd_Form 1'!F21</f>
        <v>0</v>
      </c>
      <c r="F23" s="430">
        <f>'Sd_Form 1'!G21</f>
        <v>0</v>
      </c>
      <c r="G23" s="430">
        <f>'Sd_Form 1'!H21</f>
        <v>0</v>
      </c>
      <c r="H23" s="430">
        <f>'Sd_Form 1'!I21</f>
        <v>0</v>
      </c>
    </row>
    <row r="24" spans="1:8">
      <c r="A24" s="423" t="s">
        <v>207</v>
      </c>
      <c r="B24" s="424" t="str">
        <f>'Sd_Form 1'!C22</f>
        <v xml:space="preserve">Re-vamp capacity </v>
      </c>
      <c r="C24" s="668" t="s">
        <v>851</v>
      </c>
      <c r="D24" s="430">
        <f>'Sd_Form 1'!E22</f>
        <v>0</v>
      </c>
      <c r="E24" s="430">
        <f>'Sd_Form 1'!F22</f>
        <v>0</v>
      </c>
      <c r="F24" s="430">
        <f>'Sd_Form 1'!G22</f>
        <v>0</v>
      </c>
      <c r="G24" s="430">
        <f>'Sd_Form 1'!H22</f>
        <v>0</v>
      </c>
      <c r="H24" s="430">
        <f>'Sd_Form 1'!I22</f>
        <v>0</v>
      </c>
    </row>
    <row r="25" spans="1:8">
      <c r="A25" s="425" t="s">
        <v>86</v>
      </c>
      <c r="B25" s="88" t="s">
        <v>510</v>
      </c>
      <c r="C25" s="56" t="s">
        <v>851</v>
      </c>
      <c r="D25" s="430">
        <f>'Sd_Form 1'!E24</f>
        <v>0</v>
      </c>
      <c r="E25" s="430">
        <f>'Sd_Form 1'!F24</f>
        <v>0</v>
      </c>
      <c r="F25" s="430">
        <f>'Sd_Form 1'!G24</f>
        <v>0</v>
      </c>
      <c r="G25" s="430">
        <f>'Sd_Form 1'!H24</f>
        <v>0</v>
      </c>
      <c r="H25" s="430">
        <f>'Sd_Form 1'!I24</f>
        <v>0</v>
      </c>
    </row>
    <row r="26" spans="1:8" ht="28.5">
      <c r="A26" s="425" t="s">
        <v>293</v>
      </c>
      <c r="B26" s="424" t="s">
        <v>940</v>
      </c>
      <c r="C26" s="668" t="s">
        <v>851</v>
      </c>
      <c r="D26" s="668"/>
      <c r="E26" s="666"/>
      <c r="F26" s="666"/>
      <c r="G26" s="666"/>
      <c r="H26" s="666"/>
    </row>
    <row r="27" spans="1:8" ht="15.75">
      <c r="A27" s="667" t="s">
        <v>421</v>
      </c>
      <c r="B27" s="1356" t="s">
        <v>701</v>
      </c>
      <c r="C27" s="1356"/>
      <c r="D27" s="1356"/>
      <c r="E27" s="1356"/>
      <c r="F27" s="1356"/>
      <c r="G27" s="1356"/>
      <c r="H27" s="1356"/>
    </row>
    <row r="28" spans="1:8">
      <c r="A28" s="1357"/>
      <c r="B28" s="1357"/>
      <c r="C28" s="56" t="s">
        <v>37</v>
      </c>
      <c r="D28" s="56"/>
      <c r="E28" s="56"/>
      <c r="F28" s="56"/>
      <c r="G28" s="56"/>
      <c r="H28" s="56"/>
    </row>
    <row r="29" spans="1:8">
      <c r="A29" s="673" t="s">
        <v>27</v>
      </c>
      <c r="B29" s="59" t="s">
        <v>811</v>
      </c>
      <c r="C29" s="668" t="s">
        <v>734</v>
      </c>
      <c r="D29" s="430">
        <f>'Sd_Form 1'!E55/10</f>
        <v>0</v>
      </c>
      <c r="E29" s="430">
        <f>'Sd_Form 1'!F55/10</f>
        <v>0</v>
      </c>
      <c r="F29" s="430">
        <f>'Sd_Form 1'!G55/10</f>
        <v>0</v>
      </c>
      <c r="G29" s="430">
        <f>'Sd_Form 1'!H55/10</f>
        <v>0</v>
      </c>
      <c r="H29" s="430">
        <f>'Sd_Form 1'!I55/10</f>
        <v>0</v>
      </c>
    </row>
    <row r="30" spans="1:8">
      <c r="A30" s="673" t="s">
        <v>29</v>
      </c>
      <c r="B30" s="665" t="s">
        <v>702</v>
      </c>
      <c r="C30" s="668" t="s">
        <v>734</v>
      </c>
      <c r="D30" s="450">
        <f>'Sd_Form 1'!E130/10</f>
        <v>0</v>
      </c>
      <c r="E30" s="450">
        <f>'Sd_Form 1'!F130/10</f>
        <v>0</v>
      </c>
      <c r="F30" s="450">
        <f>'Sd_Form 1'!G130/10</f>
        <v>0</v>
      </c>
      <c r="G30" s="450">
        <f>'Sd_Form 1'!H130/10</f>
        <v>0</v>
      </c>
      <c r="H30" s="450">
        <f>'Sd_Form 1'!I130/10</f>
        <v>0</v>
      </c>
    </row>
    <row r="31" spans="1:8">
      <c r="A31" s="673" t="s">
        <v>207</v>
      </c>
      <c r="B31" s="665" t="s">
        <v>703</v>
      </c>
      <c r="C31" s="668" t="s">
        <v>734</v>
      </c>
      <c r="D31" s="450">
        <f>'Sd_Form 1'!E131/10</f>
        <v>0</v>
      </c>
      <c r="E31" s="450">
        <f>'Sd_Form 1'!F131/10</f>
        <v>0</v>
      </c>
      <c r="F31" s="450">
        <f>'Sd_Form 1'!G131/10</f>
        <v>0</v>
      </c>
      <c r="G31" s="450">
        <f>'Sd_Form 1'!H131/10</f>
        <v>0</v>
      </c>
      <c r="H31" s="450">
        <f>'Sd_Form 1'!I131/10</f>
        <v>0</v>
      </c>
    </row>
    <row r="32" spans="1:8">
      <c r="A32" s="673" t="s">
        <v>86</v>
      </c>
      <c r="B32" s="415" t="s">
        <v>704</v>
      </c>
      <c r="C32" s="668" t="s">
        <v>734</v>
      </c>
      <c r="D32" s="450">
        <f>D29+D30-D31</f>
        <v>0</v>
      </c>
      <c r="E32" s="450">
        <f>E29+E30-E31</f>
        <v>0</v>
      </c>
      <c r="F32" s="450">
        <f t="shared" ref="F32:G32" si="0">F29+F30-F31</f>
        <v>0</v>
      </c>
      <c r="G32" s="450">
        <f t="shared" si="0"/>
        <v>0</v>
      </c>
      <c r="H32" s="450">
        <f>H29+H30-H31</f>
        <v>0</v>
      </c>
    </row>
    <row r="33" spans="1:14" ht="28.5">
      <c r="A33" s="673" t="s">
        <v>293</v>
      </c>
      <c r="B33" s="665" t="s">
        <v>1033</v>
      </c>
      <c r="C33" s="668" t="s">
        <v>734</v>
      </c>
      <c r="D33" s="450">
        <f>('Sd_Form 1'!E57+'Sd_Form 1'!E72+'Sd_Form 1'!E88+'Sd_Form 1'!E116)/10</f>
        <v>0</v>
      </c>
      <c r="E33" s="450">
        <f>('Sd_Form 1'!F57+'Sd_Form 1'!F72+'Sd_Form 1'!F88+'Sd_Form 1'!F116)/10</f>
        <v>0</v>
      </c>
      <c r="F33" s="450">
        <f>('Sd_Form 1'!G57+'Sd_Form 1'!G72+'Sd_Form 1'!G88+'Sd_Form 1'!G116)/10</f>
        <v>0</v>
      </c>
      <c r="G33" s="450">
        <f>('Sd_Form 1'!H57+'Sd_Form 1'!H72+'Sd_Form 1'!H88+'Sd_Form 1'!H116)/10</f>
        <v>0</v>
      </c>
      <c r="H33" s="450">
        <f>('Sd_Form 1'!I57+'Sd_Form 1'!I72+'Sd_Form 1'!I88+'Sd_Form 1'!I116)/10</f>
        <v>0</v>
      </c>
    </row>
    <row r="34" spans="1:14">
      <c r="A34" s="673" t="s">
        <v>329</v>
      </c>
      <c r="B34" s="665" t="s">
        <v>705</v>
      </c>
      <c r="C34" s="668" t="s">
        <v>420</v>
      </c>
      <c r="D34" s="430">
        <f>'Sd_Form 1'!E191*10</f>
        <v>0</v>
      </c>
      <c r="E34" s="430">
        <f>'Sd_Form 1'!F191*10</f>
        <v>0</v>
      </c>
      <c r="F34" s="430">
        <f>'Sd_Form 1'!G191*10</f>
        <v>0</v>
      </c>
      <c r="G34" s="430">
        <f>'Sd_Form 1'!H191*10</f>
        <v>0</v>
      </c>
      <c r="H34" s="430">
        <f>'Sd_Form 1'!I191*10</f>
        <v>0</v>
      </c>
    </row>
    <row r="35" spans="1:14">
      <c r="A35" s="668" t="s">
        <v>333</v>
      </c>
      <c r="B35" s="665" t="s">
        <v>806</v>
      </c>
      <c r="C35" s="668" t="s">
        <v>420</v>
      </c>
      <c r="D35" s="430">
        <f>'Sd_Form 1'!E238*10</f>
        <v>0</v>
      </c>
      <c r="E35" s="430">
        <f>'Sd_Form 1'!F238*10</f>
        <v>0</v>
      </c>
      <c r="F35" s="430">
        <f>'Sd_Form 1'!G238*10</f>
        <v>0</v>
      </c>
      <c r="G35" s="430">
        <f>'Sd_Form 1'!H238*10</f>
        <v>0</v>
      </c>
      <c r="H35" s="430">
        <f>'Sd_Form 1'!I238*10</f>
        <v>0</v>
      </c>
    </row>
    <row r="36" spans="1:14">
      <c r="A36" s="668" t="s">
        <v>706</v>
      </c>
      <c r="B36" s="665" t="s">
        <v>807</v>
      </c>
      <c r="C36" s="668" t="s">
        <v>420</v>
      </c>
      <c r="D36" s="450">
        <f>'Sd_Form 1'!E261*10</f>
        <v>0</v>
      </c>
      <c r="E36" s="450">
        <f>'Sd_Form 1'!F261*10</f>
        <v>0</v>
      </c>
      <c r="F36" s="450">
        <f>'Sd_Form 1'!G261*10</f>
        <v>0</v>
      </c>
      <c r="G36" s="450">
        <f>'Sd_Form 1'!H261*10</f>
        <v>0</v>
      </c>
      <c r="H36" s="450">
        <f>'Sd_Form 1'!I261*10</f>
        <v>0</v>
      </c>
    </row>
    <row r="37" spans="1:14">
      <c r="A37" s="453" t="s">
        <v>948</v>
      </c>
      <c r="B37" s="415" t="s">
        <v>949</v>
      </c>
      <c r="C37" s="668" t="s">
        <v>420</v>
      </c>
      <c r="D37" s="450">
        <f>SUM(D34:D36)</f>
        <v>0</v>
      </c>
      <c r="E37" s="450">
        <f t="shared" ref="E37:H37" si="1">SUM(E34:E36)</f>
        <v>0</v>
      </c>
      <c r="F37" s="450">
        <f t="shared" si="1"/>
        <v>0</v>
      </c>
      <c r="G37" s="450">
        <f t="shared" si="1"/>
        <v>0</v>
      </c>
      <c r="H37" s="450">
        <f t="shared" si="1"/>
        <v>0</v>
      </c>
    </row>
    <row r="38" spans="1:14" ht="30">
      <c r="A38" s="453" t="s">
        <v>950</v>
      </c>
      <c r="B38" s="415" t="s">
        <v>951</v>
      </c>
      <c r="C38" s="668" t="s">
        <v>420</v>
      </c>
      <c r="D38" s="451">
        <f>('Sd_Form 1'!E192+'Sd_Form 1'!E239+'Sd_Form 1'!E262)*10</f>
        <v>0</v>
      </c>
      <c r="E38" s="451">
        <f>('Sd_Form 1'!F192+'Sd_Form 1'!F239+'Sd_Form 1'!F262)*10</f>
        <v>0</v>
      </c>
      <c r="F38" s="451">
        <f>('Sd_Form 1'!G192+'Sd_Form 1'!G239+'Sd_Form 1'!G262)*10</f>
        <v>0</v>
      </c>
      <c r="G38" s="451">
        <f>('Sd_Form 1'!H192+'Sd_Form 1'!H239+'Sd_Form 1'!H262)*10</f>
        <v>0</v>
      </c>
      <c r="H38" s="451">
        <f>('Sd_Form 1'!I192+'Sd_Form 1'!I239+'Sd_Form 1'!I262)*10</f>
        <v>0</v>
      </c>
    </row>
    <row r="39" spans="1:14" s="181" customFormat="1" ht="19.5" customHeight="1">
      <c r="A39" s="1362" t="s">
        <v>881</v>
      </c>
      <c r="B39" s="1364" t="s">
        <v>946</v>
      </c>
      <c r="C39" s="454" t="s">
        <v>420</v>
      </c>
      <c r="D39" s="1127">
        <f>D37+(D29-D31)*2860</f>
        <v>0</v>
      </c>
      <c r="E39" s="1127">
        <f t="shared" ref="E39:H39" si="2">E37+(E29-E31)*2860</f>
        <v>0</v>
      </c>
      <c r="F39" s="1127">
        <f t="shared" si="2"/>
        <v>0</v>
      </c>
      <c r="G39" s="1127">
        <f t="shared" si="2"/>
        <v>0</v>
      </c>
      <c r="H39" s="1127">
        <f t="shared" si="2"/>
        <v>0</v>
      </c>
      <c r="I39" s="1084"/>
      <c r="J39" s="1085"/>
      <c r="K39" s="1085"/>
      <c r="L39" s="1085"/>
      <c r="M39" s="1085"/>
      <c r="N39" s="1085"/>
    </row>
    <row r="40" spans="1:14" s="181" customFormat="1" ht="19.5" customHeight="1">
      <c r="A40" s="1363"/>
      <c r="B40" s="1365"/>
      <c r="C40" s="454" t="s">
        <v>360</v>
      </c>
      <c r="D40" s="1128">
        <f>D39/10</f>
        <v>0</v>
      </c>
      <c r="E40" s="1128">
        <f t="shared" ref="E40:H40" si="3">E39/10</f>
        <v>0</v>
      </c>
      <c r="F40" s="1128">
        <f t="shared" si="3"/>
        <v>0</v>
      </c>
      <c r="G40" s="1128">
        <f t="shared" si="3"/>
        <v>0</v>
      </c>
      <c r="H40" s="1128">
        <f t="shared" si="3"/>
        <v>0</v>
      </c>
      <c r="I40" s="1084"/>
      <c r="J40" s="1085"/>
      <c r="K40" s="1085"/>
      <c r="L40" s="1085"/>
      <c r="M40" s="1085"/>
      <c r="N40" s="1085"/>
    </row>
    <row r="41" spans="1:14" s="181" customFormat="1" ht="19.5" customHeight="1">
      <c r="A41" s="1362" t="s">
        <v>947</v>
      </c>
      <c r="B41" s="1364" t="s">
        <v>952</v>
      </c>
      <c r="C41" s="454" t="s">
        <v>420</v>
      </c>
      <c r="D41" s="1129">
        <f>'Sd_Form 1'!E57*2860/10+'Form-1'!D38</f>
        <v>0</v>
      </c>
      <c r="E41" s="1129">
        <f>'Sd_Form 1'!F57*2860/10+'Form-1'!E38</f>
        <v>0</v>
      </c>
      <c r="F41" s="1129">
        <f>'Sd_Form 1'!G57*2860/10+'Form-1'!F38</f>
        <v>0</v>
      </c>
      <c r="G41" s="1129">
        <f>'Sd_Form 1'!H57*2860/10+'Form-1'!G38</f>
        <v>0</v>
      </c>
      <c r="H41" s="1129">
        <f>'Sd_Form 1'!I57*2860/10+'Form-1'!H38</f>
        <v>0</v>
      </c>
      <c r="I41" s="1084"/>
      <c r="J41" s="1085"/>
      <c r="K41" s="1085"/>
      <c r="L41" s="1085"/>
      <c r="M41" s="1085"/>
      <c r="N41" s="1085"/>
    </row>
    <row r="42" spans="1:14" s="181" customFormat="1" ht="19.5" customHeight="1">
      <c r="A42" s="1363"/>
      <c r="B42" s="1365"/>
      <c r="C42" s="454" t="s">
        <v>360</v>
      </c>
      <c r="D42" s="1128">
        <f>D41/10</f>
        <v>0</v>
      </c>
      <c r="E42" s="1128">
        <f t="shared" ref="E42:H42" si="4">E41/10</f>
        <v>0</v>
      </c>
      <c r="F42" s="1128">
        <f t="shared" si="4"/>
        <v>0</v>
      </c>
      <c r="G42" s="1128">
        <f>G41/10</f>
        <v>0</v>
      </c>
      <c r="H42" s="1128">
        <f t="shared" si="4"/>
        <v>0</v>
      </c>
      <c r="I42" s="1084"/>
      <c r="J42" s="1085"/>
      <c r="K42" s="1085"/>
      <c r="L42" s="1085"/>
      <c r="M42" s="1085"/>
      <c r="N42" s="1085"/>
    </row>
    <row r="43" spans="1:14" ht="28.5">
      <c r="A43" s="453" t="s">
        <v>881</v>
      </c>
      <c r="B43" s="60" t="s">
        <v>953</v>
      </c>
      <c r="C43" s="453" t="s">
        <v>360</v>
      </c>
      <c r="D43" s="668"/>
      <c r="E43" s="180"/>
      <c r="F43" s="180"/>
      <c r="G43" s="180"/>
      <c r="H43" s="180"/>
      <c r="I43" s="1086"/>
      <c r="J43" s="1086"/>
    </row>
    <row r="44" spans="1:14" ht="15.75">
      <c r="A44" s="675" t="s">
        <v>443</v>
      </c>
      <c r="B44" s="676" t="s">
        <v>707</v>
      </c>
      <c r="C44" s="677"/>
      <c r="D44" s="678"/>
      <c r="E44" s="678"/>
      <c r="F44" s="678"/>
      <c r="G44" s="678"/>
      <c r="H44" s="678"/>
    </row>
    <row r="45" spans="1:14">
      <c r="A45" s="673" t="s">
        <v>708</v>
      </c>
      <c r="B45" s="665" t="s">
        <v>709</v>
      </c>
      <c r="C45" s="61" t="s">
        <v>826</v>
      </c>
      <c r="D45" s="452" t="e">
        <f>('Tech annexure'!F80/10)-0.253</f>
        <v>#DIV/0!</v>
      </c>
      <c r="E45" s="452" t="e">
        <f>('Tech annexure'!G80/10)-0.253</f>
        <v>#DIV/0!</v>
      </c>
      <c r="F45" s="452" t="e">
        <f>('Tech annexure'!H80/10)-0.253</f>
        <v>#DIV/0!</v>
      </c>
      <c r="G45" s="452" t="e">
        <f>('Tech annexure'!I80/10)-0.253</f>
        <v>#DIV/0!</v>
      </c>
      <c r="H45" s="452" t="e">
        <f>('Tech annexure'!J80/10)-0.253</f>
        <v>#DIV/0!</v>
      </c>
    </row>
    <row r="46" spans="1:14">
      <c r="A46" s="673" t="s">
        <v>162</v>
      </c>
      <c r="B46" s="665" t="s">
        <v>710</v>
      </c>
      <c r="C46" s="61" t="s">
        <v>826</v>
      </c>
      <c r="D46" s="61" t="e">
        <f>('NF summary'!F10-'NF summary'!F18)/10-(0.253)</f>
        <v>#DIV/0!</v>
      </c>
      <c r="E46" s="61" t="e">
        <f>('NF summary'!G10-'NF summary'!G18)/10-(0.253)</f>
        <v>#DIV/0!</v>
      </c>
      <c r="F46" s="61" t="e">
        <f>('NF summary'!H10-'NF summary'!H18)/10-(0.253)</f>
        <v>#DIV/0!</v>
      </c>
      <c r="G46" s="61" t="e">
        <f>('NF summary'!I10-'NF summary'!I18)/10-(0.253)</f>
        <v>#DIV/0!</v>
      </c>
      <c r="H46" s="61" t="e">
        <f>('NF summary'!J10-'NF summary'!J18)/10-(0.253)</f>
        <v>#DIV/0!</v>
      </c>
      <c r="I46" s="181"/>
      <c r="J46" s="181"/>
      <c r="K46" s="181"/>
      <c r="L46" s="181"/>
    </row>
    <row r="47" spans="1:14">
      <c r="A47" s="1357"/>
      <c r="B47" s="1357"/>
      <c r="C47" s="1357"/>
      <c r="D47" s="1357"/>
      <c r="E47" s="1357"/>
      <c r="F47" s="1357"/>
      <c r="G47" s="1357"/>
      <c r="H47" s="1357"/>
      <c r="I47" s="181"/>
      <c r="J47" s="181"/>
      <c r="K47" s="181"/>
      <c r="L47" s="181"/>
    </row>
    <row r="48" spans="1:14" ht="15.75">
      <c r="A48" s="1087" t="s">
        <v>463</v>
      </c>
      <c r="B48" s="1358" t="s">
        <v>711</v>
      </c>
      <c r="C48" s="1358"/>
      <c r="D48" s="1358"/>
      <c r="E48" s="1358"/>
      <c r="F48" s="1358"/>
      <c r="G48" s="1358"/>
      <c r="H48" s="1358"/>
      <c r="I48" s="1085"/>
      <c r="J48" s="181"/>
      <c r="K48" s="181"/>
      <c r="L48" s="181"/>
    </row>
    <row r="49" spans="1:15">
      <c r="A49" s="673" t="s">
        <v>712</v>
      </c>
      <c r="B49" s="57" t="s">
        <v>713</v>
      </c>
      <c r="C49" s="668" t="s">
        <v>355</v>
      </c>
      <c r="D49" s="679"/>
      <c r="E49" s="679"/>
      <c r="F49" s="679"/>
      <c r="G49" s="679"/>
      <c r="H49" s="679"/>
    </row>
    <row r="50" spans="1:15" ht="28.5">
      <c r="A50" s="673" t="s">
        <v>162</v>
      </c>
      <c r="B50" s="57" t="s">
        <v>714</v>
      </c>
      <c r="C50" s="668" t="s">
        <v>715</v>
      </c>
      <c r="D50" s="679"/>
      <c r="E50" s="679"/>
      <c r="F50" s="679"/>
      <c r="G50" s="679"/>
      <c r="H50" s="679"/>
    </row>
    <row r="51" spans="1:15">
      <c r="A51" s="673" t="s">
        <v>716</v>
      </c>
      <c r="B51" s="57" t="s">
        <v>717</v>
      </c>
      <c r="C51" s="668" t="s">
        <v>718</v>
      </c>
      <c r="D51" s="679"/>
      <c r="E51" s="679"/>
      <c r="F51" s="679"/>
      <c r="G51" s="679"/>
      <c r="H51" s="679"/>
    </row>
    <row r="52" spans="1:15">
      <c r="A52" s="673" t="s">
        <v>719</v>
      </c>
      <c r="B52" s="57" t="s">
        <v>720</v>
      </c>
      <c r="C52" s="668" t="s">
        <v>11</v>
      </c>
      <c r="D52" s="679"/>
      <c r="E52" s="679"/>
      <c r="F52" s="679"/>
      <c r="G52" s="679"/>
      <c r="H52" s="679"/>
    </row>
    <row r="53" spans="1:15">
      <c r="A53" s="673" t="s">
        <v>721</v>
      </c>
      <c r="B53" s="57" t="s">
        <v>722</v>
      </c>
      <c r="C53" s="668" t="s">
        <v>723</v>
      </c>
      <c r="D53" s="679"/>
      <c r="E53" s="679"/>
      <c r="F53" s="679"/>
      <c r="G53" s="679"/>
      <c r="H53" s="679"/>
    </row>
    <row r="54" spans="1:15">
      <c r="A54" s="673" t="s">
        <v>724</v>
      </c>
      <c r="B54" s="57" t="s">
        <v>725</v>
      </c>
      <c r="C54" s="668" t="s">
        <v>723</v>
      </c>
      <c r="D54" s="679"/>
      <c r="E54" s="679"/>
      <c r="F54" s="679"/>
      <c r="G54" s="679"/>
      <c r="H54" s="679"/>
    </row>
    <row r="55" spans="1:15">
      <c r="A55" s="673" t="s">
        <v>726</v>
      </c>
      <c r="B55" s="57" t="s">
        <v>727</v>
      </c>
      <c r="C55" s="668" t="s">
        <v>11</v>
      </c>
      <c r="D55" s="679"/>
      <c r="E55" s="679"/>
      <c r="F55" s="679"/>
      <c r="G55" s="679"/>
      <c r="H55" s="679"/>
    </row>
    <row r="56" spans="1:15">
      <c r="A56" s="673" t="s">
        <v>728</v>
      </c>
      <c r="B56" s="57" t="s">
        <v>729</v>
      </c>
      <c r="C56" s="668" t="s">
        <v>723</v>
      </c>
      <c r="D56" s="679"/>
      <c r="E56" s="679"/>
      <c r="F56" s="679"/>
      <c r="G56" s="679"/>
      <c r="H56" s="679"/>
    </row>
    <row r="57" spans="1:15" ht="15.75">
      <c r="A57" s="673" t="s">
        <v>730</v>
      </c>
      <c r="B57" s="57" t="s">
        <v>731</v>
      </c>
      <c r="C57" s="668" t="s">
        <v>723</v>
      </c>
      <c r="D57" s="679"/>
      <c r="E57" s="685"/>
      <c r="F57" s="685"/>
      <c r="G57" s="685"/>
      <c r="H57" s="685"/>
    </row>
    <row r="58" spans="1:15" ht="15.75">
      <c r="A58" s="673"/>
      <c r="B58" s="57"/>
      <c r="C58" s="668"/>
      <c r="D58" s="679"/>
      <c r="E58" s="685"/>
      <c r="F58" s="685"/>
      <c r="G58" s="685"/>
      <c r="H58" s="685"/>
    </row>
    <row r="59" spans="1:15" ht="15.75">
      <c r="A59" s="1087" t="s">
        <v>484</v>
      </c>
      <c r="B59" s="1092" t="s">
        <v>732</v>
      </c>
      <c r="C59" s="1092"/>
      <c r="D59" s="684"/>
      <c r="E59" s="684"/>
      <c r="F59" s="684"/>
      <c r="G59" s="684"/>
      <c r="H59" s="684"/>
      <c r="I59" s="1085"/>
      <c r="J59" s="181"/>
      <c r="K59" s="181"/>
      <c r="L59" s="181"/>
      <c r="M59" s="181"/>
      <c r="N59" s="181"/>
      <c r="O59" s="181"/>
    </row>
    <row r="60" spans="1:15" ht="15.75">
      <c r="A60" s="1359"/>
      <c r="B60" s="1359"/>
      <c r="C60" s="1088" t="s">
        <v>37</v>
      </c>
      <c r="D60" s="686"/>
      <c r="E60" s="686"/>
      <c r="F60" s="686"/>
      <c r="G60" s="686"/>
      <c r="H60" s="686"/>
      <c r="I60" s="1089"/>
      <c r="J60" s="1090"/>
      <c r="K60" s="1090"/>
      <c r="L60" s="1090"/>
      <c r="M60" s="1090"/>
      <c r="N60" s="1090"/>
      <c r="O60" s="1090"/>
    </row>
    <row r="61" spans="1:15">
      <c r="A61" s="673">
        <v>9</v>
      </c>
      <c r="B61" s="665" t="s">
        <v>733</v>
      </c>
      <c r="C61" s="666" t="s">
        <v>734</v>
      </c>
      <c r="D61" s="681"/>
      <c r="E61" s="681"/>
      <c r="F61" s="681"/>
      <c r="G61" s="681"/>
      <c r="H61" s="681"/>
      <c r="I61" s="181"/>
      <c r="J61" s="181"/>
      <c r="K61" s="181"/>
      <c r="L61" s="181"/>
      <c r="M61" s="181"/>
      <c r="N61" s="181"/>
      <c r="O61" s="181"/>
    </row>
    <row r="62" spans="1:15">
      <c r="A62" s="673">
        <v>10</v>
      </c>
      <c r="B62" s="665" t="s">
        <v>735</v>
      </c>
      <c r="C62" s="666" t="s">
        <v>420</v>
      </c>
      <c r="D62" s="681"/>
      <c r="E62" s="681"/>
      <c r="F62" s="681"/>
      <c r="G62" s="681"/>
      <c r="H62" s="681"/>
    </row>
    <row r="63" spans="1:15">
      <c r="A63" s="673">
        <v>11</v>
      </c>
      <c r="B63" s="665" t="s">
        <v>736</v>
      </c>
      <c r="C63" s="666"/>
      <c r="D63" s="681"/>
      <c r="E63" s="681"/>
      <c r="F63" s="681"/>
      <c r="G63" s="681"/>
      <c r="H63" s="681"/>
    </row>
    <row r="64" spans="1:15">
      <c r="A64" s="673" t="s">
        <v>505</v>
      </c>
      <c r="B64" s="665" t="s">
        <v>737</v>
      </c>
      <c r="C64" s="666" t="s">
        <v>420</v>
      </c>
      <c r="D64" s="681"/>
      <c r="E64" s="681"/>
      <c r="F64" s="681"/>
      <c r="G64" s="681"/>
      <c r="H64" s="681"/>
    </row>
    <row r="65" spans="1:8">
      <c r="A65" s="673" t="s">
        <v>162</v>
      </c>
      <c r="B65" s="665" t="s">
        <v>738</v>
      </c>
      <c r="C65" s="666" t="s">
        <v>420</v>
      </c>
      <c r="D65" s="681"/>
      <c r="E65" s="681"/>
      <c r="F65" s="681"/>
      <c r="G65" s="681"/>
      <c r="H65" s="681"/>
    </row>
    <row r="66" spans="1:8">
      <c r="A66" s="668" t="s">
        <v>716</v>
      </c>
      <c r="B66" s="665" t="s">
        <v>739</v>
      </c>
      <c r="C66" s="666" t="s">
        <v>420</v>
      </c>
      <c r="D66" s="681"/>
      <c r="E66" s="681"/>
      <c r="F66" s="681"/>
      <c r="G66" s="681"/>
      <c r="H66" s="681"/>
    </row>
    <row r="67" spans="1:8">
      <c r="A67" s="673" t="s">
        <v>719</v>
      </c>
      <c r="B67" s="665" t="s">
        <v>740</v>
      </c>
      <c r="C67" s="666" t="s">
        <v>420</v>
      </c>
      <c r="D67" s="681"/>
      <c r="E67" s="681"/>
      <c r="F67" s="681"/>
      <c r="G67" s="681"/>
      <c r="H67" s="681"/>
    </row>
    <row r="68" spans="1:8">
      <c r="A68" s="673">
        <v>12</v>
      </c>
      <c r="B68" s="665" t="s">
        <v>741</v>
      </c>
      <c r="C68" s="666" t="s">
        <v>420</v>
      </c>
      <c r="D68" s="681"/>
      <c r="E68" s="681"/>
      <c r="F68" s="681"/>
      <c r="G68" s="681"/>
      <c r="H68" s="681"/>
    </row>
    <row r="69" spans="1:8">
      <c r="A69" s="673">
        <v>13</v>
      </c>
      <c r="B69" s="665" t="s">
        <v>742</v>
      </c>
      <c r="C69" s="666" t="s">
        <v>420</v>
      </c>
      <c r="D69" s="681"/>
      <c r="E69" s="681"/>
      <c r="F69" s="681"/>
      <c r="G69" s="681"/>
      <c r="H69" s="681"/>
    </row>
    <row r="70" spans="1:8">
      <c r="A70" s="673">
        <v>14</v>
      </c>
      <c r="B70" s="665" t="s">
        <v>743</v>
      </c>
      <c r="C70" s="666" t="s">
        <v>744</v>
      </c>
      <c r="D70" s="681"/>
      <c r="E70" s="681"/>
      <c r="F70" s="681"/>
      <c r="G70" s="681"/>
      <c r="H70" s="681"/>
    </row>
    <row r="71" spans="1:8" ht="0.75" customHeight="1">
      <c r="A71" s="1357"/>
      <c r="B71" s="1357"/>
      <c r="C71" s="1357"/>
      <c r="D71" s="1357"/>
      <c r="E71" s="1357"/>
      <c r="F71" s="1357"/>
      <c r="G71" s="1357"/>
      <c r="H71" s="1357"/>
    </row>
    <row r="72" spans="1:8" hidden="1">
      <c r="A72" s="1357"/>
      <c r="B72" s="1357"/>
      <c r="C72" s="1357"/>
      <c r="D72" s="1357"/>
      <c r="E72" s="1357"/>
      <c r="F72" s="1357"/>
      <c r="G72" s="1357"/>
      <c r="H72" s="1357"/>
    </row>
    <row r="73" spans="1:8">
      <c r="A73" s="673" t="s">
        <v>745</v>
      </c>
      <c r="B73" s="665" t="s">
        <v>746</v>
      </c>
      <c r="C73" s="665"/>
      <c r="D73" s="665"/>
      <c r="E73" s="665"/>
      <c r="F73" s="665"/>
      <c r="G73" s="665"/>
      <c r="H73" s="665"/>
    </row>
    <row r="74" spans="1:8" ht="45">
      <c r="A74" s="1091" t="s">
        <v>747</v>
      </c>
      <c r="B74" s="415" t="s">
        <v>748</v>
      </c>
      <c r="C74" s="415" t="s">
        <v>692</v>
      </c>
      <c r="D74" s="682"/>
      <c r="E74" s="682" t="s">
        <v>749</v>
      </c>
      <c r="F74" s="682"/>
      <c r="G74" s="682"/>
      <c r="H74" s="682"/>
    </row>
    <row r="75" spans="1:8" ht="18.75">
      <c r="A75" s="1357" t="s">
        <v>27</v>
      </c>
      <c r="B75" s="1351" t="s">
        <v>750</v>
      </c>
      <c r="C75" s="665" t="s">
        <v>751</v>
      </c>
      <c r="D75" s="680"/>
      <c r="E75" s="679" t="s">
        <v>752</v>
      </c>
      <c r="F75" s="679"/>
      <c r="G75" s="679"/>
      <c r="H75" s="679"/>
    </row>
    <row r="76" spans="1:8" ht="18.75">
      <c r="A76" s="1357"/>
      <c r="B76" s="1351"/>
      <c r="C76" s="665" t="s">
        <v>753</v>
      </c>
      <c r="D76" s="680"/>
      <c r="E76" s="679" t="s">
        <v>754</v>
      </c>
      <c r="F76" s="679"/>
      <c r="G76" s="679"/>
      <c r="H76" s="679"/>
    </row>
    <row r="77" spans="1:8">
      <c r="A77" s="673" t="s">
        <v>29</v>
      </c>
      <c r="B77" s="665" t="s">
        <v>755</v>
      </c>
      <c r="C77" s="665" t="s">
        <v>755</v>
      </c>
      <c r="D77" s="680"/>
      <c r="E77" s="679" t="s">
        <v>756</v>
      </c>
      <c r="F77" s="679"/>
      <c r="G77" s="679"/>
      <c r="H77" s="680"/>
    </row>
    <row r="78" spans="1:8">
      <c r="A78" s="673" t="s">
        <v>207</v>
      </c>
      <c r="B78" s="665" t="s">
        <v>757</v>
      </c>
      <c r="C78" s="665" t="s">
        <v>757</v>
      </c>
      <c r="D78" s="680"/>
      <c r="E78" s="679" t="s">
        <v>758</v>
      </c>
      <c r="F78" s="679"/>
      <c r="G78" s="679"/>
      <c r="H78" s="680"/>
    </row>
    <row r="79" spans="1:8">
      <c r="A79" s="673" t="s">
        <v>86</v>
      </c>
      <c r="B79" s="665" t="s">
        <v>759</v>
      </c>
      <c r="C79" s="665" t="s">
        <v>759</v>
      </c>
      <c r="D79" s="680"/>
      <c r="E79" s="679" t="s">
        <v>760</v>
      </c>
      <c r="F79" s="679"/>
      <c r="G79" s="679"/>
      <c r="H79" s="680"/>
    </row>
    <row r="80" spans="1:8" ht="18.75">
      <c r="A80" s="1357" t="s">
        <v>293</v>
      </c>
      <c r="B80" s="1351" t="s">
        <v>761</v>
      </c>
      <c r="C80" s="665" t="s">
        <v>762</v>
      </c>
      <c r="D80" s="680"/>
      <c r="E80" s="679" t="s">
        <v>763</v>
      </c>
      <c r="F80" s="679"/>
      <c r="G80" s="679"/>
      <c r="H80" s="680"/>
    </row>
    <row r="81" spans="1:8" ht="18.75">
      <c r="A81" s="1357"/>
      <c r="B81" s="1351"/>
      <c r="C81" s="665" t="s">
        <v>764</v>
      </c>
      <c r="D81" s="680"/>
      <c r="E81" s="679" t="s">
        <v>765</v>
      </c>
      <c r="F81" s="679"/>
      <c r="G81" s="679"/>
      <c r="H81" s="680"/>
    </row>
    <row r="82" spans="1:8">
      <c r="A82" s="673" t="s">
        <v>329</v>
      </c>
      <c r="B82" s="665" t="s">
        <v>766</v>
      </c>
      <c r="C82" s="665" t="s">
        <v>766</v>
      </c>
      <c r="D82" s="680"/>
      <c r="E82" s="679" t="s">
        <v>767</v>
      </c>
      <c r="F82" s="679"/>
      <c r="G82" s="679"/>
      <c r="H82" s="680"/>
    </row>
    <row r="83" spans="1:8" ht="18.75">
      <c r="A83" s="1357" t="s">
        <v>333</v>
      </c>
      <c r="B83" s="1351" t="s">
        <v>768</v>
      </c>
      <c r="C83" s="665" t="s">
        <v>769</v>
      </c>
      <c r="D83" s="680"/>
      <c r="E83" s="679" t="s">
        <v>770</v>
      </c>
      <c r="F83" s="679"/>
      <c r="G83" s="679"/>
      <c r="H83" s="680"/>
    </row>
    <row r="84" spans="1:8" ht="18.75">
      <c r="A84" s="1357"/>
      <c r="B84" s="1351"/>
      <c r="C84" s="665" t="s">
        <v>771</v>
      </c>
      <c r="D84" s="680"/>
      <c r="E84" s="679" t="s">
        <v>772</v>
      </c>
      <c r="F84" s="679"/>
      <c r="G84" s="679"/>
      <c r="H84" s="680"/>
    </row>
    <row r="85" spans="1:8" ht="18.75">
      <c r="A85" s="1357"/>
      <c r="B85" s="1351"/>
      <c r="C85" s="665" t="s">
        <v>773</v>
      </c>
      <c r="D85" s="680"/>
      <c r="E85" s="679" t="s">
        <v>774</v>
      </c>
      <c r="F85" s="679"/>
      <c r="G85" s="679"/>
      <c r="H85" s="680"/>
    </row>
    <row r="86" spans="1:8" ht="18.75">
      <c r="A86" s="1357"/>
      <c r="B86" s="1351"/>
      <c r="C86" s="665" t="s">
        <v>775</v>
      </c>
      <c r="D86" s="680"/>
      <c r="E86" s="679" t="s">
        <v>776</v>
      </c>
      <c r="F86" s="679"/>
      <c r="G86" s="679"/>
      <c r="H86" s="680"/>
    </row>
    <row r="87" spans="1:8" ht="28.5">
      <c r="A87" s="673" t="s">
        <v>706</v>
      </c>
      <c r="B87" s="665" t="s">
        <v>777</v>
      </c>
      <c r="C87" s="665" t="s">
        <v>777</v>
      </c>
      <c r="D87" s="680"/>
      <c r="E87" s="679" t="s">
        <v>778</v>
      </c>
      <c r="F87" s="679"/>
      <c r="G87" s="679"/>
      <c r="H87" s="680"/>
    </row>
    <row r="88" spans="1:8" ht="18" customHeight="1">
      <c r="A88" s="1319"/>
      <c r="B88" s="1320"/>
      <c r="C88" s="1320"/>
      <c r="D88" s="1320"/>
      <c r="E88" s="1320"/>
      <c r="F88" s="1320"/>
      <c r="G88" s="1320"/>
      <c r="H88" s="1320"/>
    </row>
    <row r="89" spans="1:8" ht="15" customHeight="1">
      <c r="A89" s="1366" t="s">
        <v>945</v>
      </c>
      <c r="B89" s="1366"/>
      <c r="C89" s="1366"/>
      <c r="D89" s="1366"/>
      <c r="E89" s="1366"/>
      <c r="F89" s="1366"/>
      <c r="G89" s="1366"/>
      <c r="H89" s="1366"/>
    </row>
    <row r="90" spans="1:8" ht="29.25" customHeight="1">
      <c r="A90" s="1366"/>
      <c r="B90" s="1366"/>
      <c r="C90" s="1366"/>
      <c r="D90" s="1366"/>
      <c r="E90" s="1366"/>
      <c r="F90" s="1366"/>
      <c r="G90" s="1366"/>
      <c r="H90" s="1366"/>
    </row>
    <row r="91" spans="1:8" ht="16.5">
      <c r="A91" s="687" t="s">
        <v>779</v>
      </c>
      <c r="B91" s="688"/>
      <c r="C91" s="513"/>
      <c r="D91" s="513"/>
      <c r="E91" s="689"/>
      <c r="F91" s="689"/>
      <c r="G91" s="689"/>
      <c r="H91" s="517"/>
    </row>
    <row r="92" spans="1:8" ht="16.5">
      <c r="A92" s="687" t="s">
        <v>941</v>
      </c>
      <c r="B92" s="688"/>
      <c r="C92" s="513"/>
      <c r="D92" s="513"/>
      <c r="E92" s="689"/>
      <c r="F92" s="689"/>
      <c r="G92" s="689"/>
      <c r="H92" s="517"/>
    </row>
    <row r="93" spans="1:8" ht="16.5">
      <c r="A93" s="687" t="s">
        <v>942</v>
      </c>
      <c r="B93" s="688"/>
      <c r="C93" s="513"/>
      <c r="D93" s="513"/>
      <c r="E93" s="689"/>
      <c r="F93" s="689"/>
      <c r="G93" s="689"/>
      <c r="H93" s="517"/>
    </row>
    <row r="94" spans="1:8" ht="16.5">
      <c r="A94" s="687" t="s">
        <v>943</v>
      </c>
      <c r="B94" s="688"/>
      <c r="C94" s="513"/>
      <c r="D94" s="513"/>
      <c r="E94" s="689"/>
      <c r="F94" s="689"/>
      <c r="G94" s="689"/>
      <c r="H94" s="517"/>
    </row>
    <row r="95" spans="1:8" ht="16.5">
      <c r="A95" s="687" t="s">
        <v>944</v>
      </c>
      <c r="B95" s="688"/>
      <c r="C95" s="689"/>
      <c r="D95" s="689"/>
      <c r="E95" s="689"/>
      <c r="F95" s="689"/>
      <c r="G95" s="689"/>
      <c r="H95" s="517"/>
    </row>
    <row r="96" spans="1:8" ht="16.5">
      <c r="A96" s="687"/>
      <c r="B96" s="688"/>
      <c r="C96" s="689"/>
      <c r="D96" s="689"/>
      <c r="E96" s="689"/>
      <c r="F96" s="689"/>
      <c r="G96" s="689"/>
      <c r="H96" s="517"/>
    </row>
    <row r="97" spans="1:8" ht="16.5">
      <c r="A97" s="687" t="s">
        <v>780</v>
      </c>
      <c r="B97" s="688"/>
      <c r="C97" s="689"/>
      <c r="D97" s="689"/>
      <c r="E97" s="689"/>
      <c r="F97" s="689"/>
      <c r="G97" s="689"/>
      <c r="H97" s="517"/>
    </row>
    <row r="98" spans="1:8" ht="16.5">
      <c r="A98" s="687" t="s">
        <v>781</v>
      </c>
      <c r="B98" s="688"/>
      <c r="C98" s="689"/>
      <c r="D98" s="689"/>
      <c r="E98" s="689"/>
      <c r="F98" s="689"/>
      <c r="G98" s="689"/>
      <c r="H98" s="517"/>
    </row>
    <row r="99" spans="1:8">
      <c r="A99" s="513"/>
      <c r="B99" s="513"/>
      <c r="C99" s="513"/>
      <c r="D99" s="513"/>
      <c r="E99" s="513"/>
      <c r="F99" s="513"/>
      <c r="G99" s="513"/>
      <c r="H99" s="513"/>
    </row>
  </sheetData>
  <sheetProtection password="CC60" sheet="1" objects="1" scenarios="1"/>
  <customSheetViews>
    <customSheetView guid="{5D90FF31-AD5C-4A69-A320-8978B095DFD4}" scale="84" hiddenRows="1">
      <selection activeCell="C11" sqref="C11:E11"/>
      <pageMargins left="0.7" right="0.7" top="0.75" bottom="0.75" header="0.3" footer="0.3"/>
    </customSheetView>
  </customSheetViews>
  <mergeCells count="32">
    <mergeCell ref="A83:A86"/>
    <mergeCell ref="B83:B86"/>
    <mergeCell ref="A89:H90"/>
    <mergeCell ref="A71:H72"/>
    <mergeCell ref="A75:A76"/>
    <mergeCell ref="B75:B76"/>
    <mergeCell ref="A80:A81"/>
    <mergeCell ref="B80:B81"/>
    <mergeCell ref="B48:H48"/>
    <mergeCell ref="A60:B60"/>
    <mergeCell ref="E13:F13"/>
    <mergeCell ref="A39:A40"/>
    <mergeCell ref="B39:B40"/>
    <mergeCell ref="A41:A42"/>
    <mergeCell ref="B41:B42"/>
    <mergeCell ref="C11:H11"/>
    <mergeCell ref="C12:H12"/>
    <mergeCell ref="B27:H27"/>
    <mergeCell ref="A28:B28"/>
    <mergeCell ref="A47:H47"/>
    <mergeCell ref="C10:H10"/>
    <mergeCell ref="A1:H1"/>
    <mergeCell ref="A2:H2"/>
    <mergeCell ref="A3:H3"/>
    <mergeCell ref="C4:H4"/>
    <mergeCell ref="C5:H5"/>
    <mergeCell ref="C6:H6"/>
    <mergeCell ref="C7:H7"/>
    <mergeCell ref="A8:A9"/>
    <mergeCell ref="B8:B9"/>
    <mergeCell ref="C8:E8"/>
    <mergeCell ref="C9:E9"/>
  </mergeCells>
  <dataValidations count="1">
    <dataValidation operator="greaterThanOrEqual" allowBlank="1" showInputMessage="1" showErrorMessage="1" error="Entor Positive values" sqref="G13"/>
  </dataValidations>
  <pageMargins left="0.59055118110236227" right="0" top="0.35433070866141736" bottom="0" header="0.31496062992125984"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308"/>
  <sheetViews>
    <sheetView topLeftCell="A224" zoomScale="89" zoomScaleNormal="89" zoomScaleSheetLayoutView="75" workbookViewId="0">
      <selection activeCell="K230" sqref="K230"/>
    </sheetView>
  </sheetViews>
  <sheetFormatPr defaultColWidth="9.140625" defaultRowHeight="15" customHeight="1"/>
  <cols>
    <col min="1" max="1" width="3.7109375" style="697" customWidth="1"/>
    <col min="2" max="2" width="7.85546875" style="697" customWidth="1"/>
    <col min="3" max="3" width="46.7109375" style="698" customWidth="1"/>
    <col min="4" max="4" width="14.7109375" style="697" customWidth="1"/>
    <col min="5" max="9" width="16.7109375" style="697" customWidth="1"/>
    <col min="10" max="10" width="12.5703125" style="697" customWidth="1"/>
    <col min="11" max="11" width="19" style="697" customWidth="1"/>
    <col min="12" max="12" width="13.5703125" style="697" customWidth="1"/>
    <col min="13" max="16384" width="9.140625" style="697"/>
  </cols>
  <sheetData>
    <row r="1" spans="1:11" ht="12" customHeight="1" thickBot="1">
      <c r="A1" s="130"/>
      <c r="B1" s="300"/>
      <c r="C1" s="130"/>
      <c r="D1" s="130"/>
      <c r="E1" s="130"/>
      <c r="F1" s="130"/>
      <c r="G1" s="130"/>
      <c r="H1" s="130"/>
      <c r="I1" s="130"/>
      <c r="J1" s="130"/>
      <c r="K1" s="130"/>
    </row>
    <row r="2" spans="1:11" ht="15" customHeight="1">
      <c r="A2" s="130"/>
      <c r="B2" s="300"/>
      <c r="C2" s="168" t="s">
        <v>883</v>
      </c>
      <c r="D2" s="130"/>
      <c r="E2" s="130"/>
      <c r="F2" s="130"/>
      <c r="G2" s="130"/>
      <c r="H2" s="130"/>
      <c r="I2" s="130"/>
      <c r="J2" s="130"/>
      <c r="K2" s="394" t="s">
        <v>891</v>
      </c>
    </row>
    <row r="3" spans="1:11" ht="18.75" customHeight="1" thickBot="1">
      <c r="A3" s="130"/>
      <c r="B3" s="300"/>
      <c r="C3" s="168" t="s">
        <v>930</v>
      </c>
      <c r="D3" s="130"/>
      <c r="E3" s="168"/>
      <c r="F3" s="130"/>
      <c r="G3" s="130"/>
      <c r="H3" s="130"/>
      <c r="I3" s="130"/>
      <c r="J3" s="130"/>
      <c r="K3" s="395" t="s">
        <v>889</v>
      </c>
    </row>
    <row r="4" spans="1:11" ht="18.75" customHeight="1" thickBot="1">
      <c r="A4" s="130"/>
      <c r="B4" s="300"/>
      <c r="C4" s="168" t="s">
        <v>882</v>
      </c>
      <c r="D4" s="1367"/>
      <c r="E4" s="1368"/>
      <c r="F4" s="1368"/>
      <c r="G4" s="1368"/>
      <c r="H4" s="1368"/>
      <c r="I4" s="1369"/>
      <c r="J4" s="130"/>
      <c r="K4" s="396" t="s">
        <v>890</v>
      </c>
    </row>
    <row r="5" spans="1:11" ht="16.5" customHeight="1" thickBot="1">
      <c r="A5" s="130"/>
      <c r="B5" s="130"/>
      <c r="C5" s="131"/>
      <c r="D5" s="296"/>
      <c r="E5" s="296"/>
      <c r="F5" s="296"/>
      <c r="G5" s="296"/>
      <c r="H5" s="296"/>
      <c r="I5" s="297"/>
      <c r="J5" s="130"/>
      <c r="K5" s="397" t="s">
        <v>958</v>
      </c>
    </row>
    <row r="6" spans="1:11" ht="51.75" customHeight="1">
      <c r="A6" s="130"/>
      <c r="B6" s="314" t="s">
        <v>320</v>
      </c>
      <c r="C6" s="315" t="s">
        <v>321</v>
      </c>
      <c r="D6" s="316" t="s">
        <v>37</v>
      </c>
      <c r="E6" s="316" t="s">
        <v>884</v>
      </c>
      <c r="F6" s="1377" t="s">
        <v>932</v>
      </c>
      <c r="G6" s="1378"/>
      <c r="H6" s="1278" t="s">
        <v>1024</v>
      </c>
      <c r="I6" s="1279" t="s">
        <v>1027</v>
      </c>
      <c r="J6" s="130"/>
      <c r="K6" s="130"/>
    </row>
    <row r="7" spans="1:11" ht="33" customHeight="1">
      <c r="A7" s="130"/>
      <c r="B7" s="317"/>
      <c r="C7" s="318"/>
      <c r="D7" s="319"/>
      <c r="E7" s="320" t="s">
        <v>43</v>
      </c>
      <c r="F7" s="227" t="s">
        <v>886</v>
      </c>
      <c r="G7" s="227" t="s">
        <v>887</v>
      </c>
      <c r="H7" s="1275" t="s">
        <v>1025</v>
      </c>
      <c r="I7" s="1276" t="s">
        <v>1026</v>
      </c>
      <c r="J7" s="130"/>
      <c r="K7" s="130"/>
    </row>
    <row r="8" spans="1:11" ht="11.25" customHeight="1">
      <c r="A8" s="130"/>
      <c r="B8" s="132"/>
      <c r="C8" s="133"/>
      <c r="D8" s="112"/>
      <c r="E8" s="112"/>
      <c r="F8" s="112"/>
      <c r="G8" s="112"/>
      <c r="H8" s="301"/>
      <c r="I8" s="134"/>
      <c r="J8" s="130"/>
      <c r="K8" s="130"/>
    </row>
    <row r="9" spans="1:11" ht="15" customHeight="1">
      <c r="A9" s="130"/>
      <c r="B9" s="321" t="s">
        <v>888</v>
      </c>
      <c r="C9" s="322" t="s">
        <v>323</v>
      </c>
      <c r="D9" s="112"/>
      <c r="E9" s="112"/>
      <c r="F9" s="112"/>
      <c r="G9" s="112"/>
      <c r="H9" s="301"/>
      <c r="I9" s="134"/>
      <c r="J9" s="130"/>
      <c r="K9" s="130"/>
    </row>
    <row r="10" spans="1:11" ht="14.25" customHeight="1">
      <c r="A10" s="130"/>
      <c r="B10" s="132"/>
      <c r="C10" s="135"/>
      <c r="D10" s="62"/>
      <c r="E10" s="62"/>
      <c r="F10" s="62"/>
      <c r="G10" s="62"/>
      <c r="H10" s="302"/>
      <c r="I10" s="63"/>
      <c r="J10" s="130"/>
      <c r="K10" s="130"/>
    </row>
    <row r="11" spans="1:11" ht="15" customHeight="1">
      <c r="A11" s="130"/>
      <c r="B11" s="306" t="s">
        <v>65</v>
      </c>
      <c r="C11" s="307" t="s">
        <v>324</v>
      </c>
      <c r="D11" s="112"/>
      <c r="E11" s="112"/>
      <c r="F11" s="112"/>
      <c r="G11" s="112"/>
      <c r="H11" s="301"/>
      <c r="I11" s="134"/>
      <c r="J11" s="130"/>
      <c r="K11" s="130"/>
    </row>
    <row r="12" spans="1:11" ht="15" customHeight="1">
      <c r="A12" s="130"/>
      <c r="B12" s="385" t="s">
        <v>27</v>
      </c>
      <c r="C12" s="135" t="s">
        <v>47</v>
      </c>
      <c r="D12" s="62" t="s">
        <v>326</v>
      </c>
      <c r="E12" s="703"/>
      <c r="F12" s="703"/>
      <c r="G12" s="704"/>
      <c r="H12" s="704"/>
      <c r="I12" s="705"/>
      <c r="J12" s="130"/>
      <c r="K12" s="130"/>
    </row>
    <row r="13" spans="1:11" ht="15" customHeight="1">
      <c r="A13" s="130"/>
      <c r="B13" s="136" t="s">
        <v>29</v>
      </c>
      <c r="C13" s="135" t="s">
        <v>504</v>
      </c>
      <c r="D13" s="62" t="s">
        <v>326</v>
      </c>
      <c r="E13" s="703"/>
      <c r="F13" s="703"/>
      <c r="G13" s="704"/>
      <c r="H13" s="704"/>
      <c r="I13" s="705"/>
      <c r="J13" s="130"/>
      <c r="K13" s="130"/>
    </row>
    <row r="14" spans="1:11" ht="15" customHeight="1">
      <c r="A14" s="130"/>
      <c r="B14" s="136" t="s">
        <v>207</v>
      </c>
      <c r="C14" s="135" t="s">
        <v>327</v>
      </c>
      <c r="D14" s="62" t="s">
        <v>326</v>
      </c>
      <c r="E14" s="706"/>
      <c r="F14" s="706"/>
      <c r="G14" s="704"/>
      <c r="H14" s="704"/>
      <c r="I14" s="705"/>
      <c r="J14" s="130"/>
      <c r="K14" s="130"/>
    </row>
    <row r="15" spans="1:11" ht="15" customHeight="1">
      <c r="A15" s="130"/>
      <c r="B15" s="136" t="s">
        <v>86</v>
      </c>
      <c r="C15" s="135" t="s">
        <v>328</v>
      </c>
      <c r="D15" s="62" t="s">
        <v>849</v>
      </c>
      <c r="E15" s="703"/>
      <c r="F15" s="703"/>
      <c r="G15" s="704"/>
      <c r="H15" s="707"/>
      <c r="I15" s="708"/>
      <c r="J15" s="130"/>
      <c r="K15" s="130"/>
    </row>
    <row r="16" spans="1:11" ht="15" customHeight="1">
      <c r="A16" s="130"/>
      <c r="B16" s="136" t="s">
        <v>293</v>
      </c>
      <c r="C16" s="133" t="s">
        <v>330</v>
      </c>
      <c r="D16" s="112" t="s">
        <v>326</v>
      </c>
      <c r="E16" s="709"/>
      <c r="F16" s="709"/>
      <c r="G16" s="710"/>
      <c r="H16" s="710"/>
      <c r="I16" s="709"/>
      <c r="J16" s="798"/>
      <c r="K16" s="130"/>
    </row>
    <row r="17" spans="1:12" ht="15" customHeight="1">
      <c r="A17" s="130"/>
      <c r="B17" s="136" t="s">
        <v>329</v>
      </c>
      <c r="C17" s="135" t="s">
        <v>334</v>
      </c>
      <c r="D17" s="62" t="s">
        <v>11</v>
      </c>
      <c r="E17" s="711" t="e">
        <f>(E16/E14)*100</f>
        <v>#DIV/0!</v>
      </c>
      <c r="F17" s="711" t="e">
        <f t="shared" ref="F17:I17" si="0">(F16/F14)*100</f>
        <v>#DIV/0!</v>
      </c>
      <c r="G17" s="711" t="e">
        <f t="shared" si="0"/>
        <v>#DIV/0!</v>
      </c>
      <c r="H17" s="711" t="e">
        <f t="shared" si="0"/>
        <v>#DIV/0!</v>
      </c>
      <c r="I17" s="711" t="e">
        <f t="shared" si="0"/>
        <v>#DIV/0!</v>
      </c>
      <c r="J17" s="799"/>
      <c r="K17" s="130"/>
    </row>
    <row r="18" spans="1:12" ht="15" customHeight="1">
      <c r="A18" s="130"/>
      <c r="B18" s="136" t="s">
        <v>333</v>
      </c>
      <c r="C18" s="139" t="s">
        <v>892</v>
      </c>
      <c r="D18" s="62"/>
      <c r="E18" s="1374"/>
      <c r="F18" s="1375"/>
      <c r="G18" s="1375"/>
      <c r="H18" s="1375"/>
      <c r="I18" s="1376"/>
      <c r="J18" s="484"/>
      <c r="K18" s="130"/>
    </row>
    <row r="19" spans="1:12" ht="15" customHeight="1">
      <c r="A19" s="130"/>
      <c r="B19" s="306" t="s">
        <v>331</v>
      </c>
      <c r="C19" s="307" t="s">
        <v>332</v>
      </c>
      <c r="D19" s="112"/>
      <c r="E19" s="699"/>
      <c r="F19" s="699"/>
      <c r="G19" s="712"/>
      <c r="H19" s="713"/>
      <c r="I19" s="712"/>
      <c r="J19" s="484"/>
      <c r="K19" s="130"/>
    </row>
    <row r="20" spans="1:12" ht="15" customHeight="1">
      <c r="A20" s="130"/>
      <c r="B20" s="385" t="s">
        <v>27</v>
      </c>
      <c r="C20" s="135" t="s">
        <v>47</v>
      </c>
      <c r="D20" s="62" t="s">
        <v>326</v>
      </c>
      <c r="E20" s="703"/>
      <c r="F20" s="703"/>
      <c r="G20" s="704"/>
      <c r="H20" s="704"/>
      <c r="I20" s="703"/>
      <c r="J20" s="484"/>
      <c r="K20" s="130"/>
    </row>
    <row r="21" spans="1:12" ht="15" customHeight="1">
      <c r="A21" s="130"/>
      <c r="B21" s="136" t="s">
        <v>29</v>
      </c>
      <c r="C21" s="135" t="s">
        <v>843</v>
      </c>
      <c r="D21" s="62" t="s">
        <v>326</v>
      </c>
      <c r="E21" s="703"/>
      <c r="F21" s="703"/>
      <c r="G21" s="704"/>
      <c r="H21" s="704"/>
      <c r="I21" s="703"/>
      <c r="J21" s="484"/>
      <c r="K21" s="130"/>
    </row>
    <row r="22" spans="1:12" ht="14.25" customHeight="1">
      <c r="A22" s="130"/>
      <c r="B22" s="136" t="s">
        <v>207</v>
      </c>
      <c r="C22" s="135" t="s">
        <v>327</v>
      </c>
      <c r="D22" s="62"/>
      <c r="E22" s="703"/>
      <c r="F22" s="703"/>
      <c r="G22" s="704"/>
      <c r="H22" s="707"/>
      <c r="I22" s="704"/>
      <c r="J22" s="484"/>
      <c r="K22" s="130"/>
    </row>
    <row r="23" spans="1:12" ht="15" customHeight="1">
      <c r="A23" s="130"/>
      <c r="B23" s="136" t="s">
        <v>86</v>
      </c>
      <c r="C23" s="135" t="s">
        <v>328</v>
      </c>
      <c r="D23" s="62" t="s">
        <v>326</v>
      </c>
      <c r="E23" s="703"/>
      <c r="F23" s="703"/>
      <c r="G23" s="704"/>
      <c r="H23" s="707"/>
      <c r="I23" s="704"/>
      <c r="J23" s="484"/>
      <c r="K23" s="130"/>
    </row>
    <row r="24" spans="1:12" ht="15" customHeight="1">
      <c r="A24" s="130"/>
      <c r="B24" s="385" t="s">
        <v>293</v>
      </c>
      <c r="C24" s="133" t="s">
        <v>330</v>
      </c>
      <c r="D24" s="112" t="s">
        <v>326</v>
      </c>
      <c r="E24" s="709"/>
      <c r="F24" s="709"/>
      <c r="G24" s="710"/>
      <c r="H24" s="710"/>
      <c r="I24" s="709"/>
      <c r="J24" s="798"/>
      <c r="K24" s="130"/>
    </row>
    <row r="25" spans="1:12" ht="15" customHeight="1">
      <c r="A25" s="130"/>
      <c r="B25" s="136" t="s">
        <v>329</v>
      </c>
      <c r="C25" s="135" t="s">
        <v>334</v>
      </c>
      <c r="D25" s="62" t="s">
        <v>11</v>
      </c>
      <c r="E25" s="711" t="e">
        <f>E24*100/E22</f>
        <v>#DIV/0!</v>
      </c>
      <c r="F25" s="711" t="e">
        <f t="shared" ref="F25:I25" si="1">F24*100/F22</f>
        <v>#DIV/0!</v>
      </c>
      <c r="G25" s="711" t="e">
        <f t="shared" si="1"/>
        <v>#DIV/0!</v>
      </c>
      <c r="H25" s="711" t="e">
        <f t="shared" si="1"/>
        <v>#DIV/0!</v>
      </c>
      <c r="I25" s="711" t="e">
        <f t="shared" si="1"/>
        <v>#DIV/0!</v>
      </c>
      <c r="J25" s="799"/>
      <c r="K25" s="137"/>
    </row>
    <row r="26" spans="1:12" ht="19.5" customHeight="1">
      <c r="A26" s="130"/>
      <c r="B26" s="136" t="s">
        <v>333</v>
      </c>
      <c r="C26" s="139" t="s">
        <v>892</v>
      </c>
      <c r="D26" s="62"/>
      <c r="E26" s="733"/>
      <c r="F26" s="715"/>
      <c r="G26" s="715"/>
      <c r="H26" s="715"/>
      <c r="I26" s="716"/>
      <c r="J26" s="140"/>
      <c r="K26" s="130"/>
    </row>
    <row r="27" spans="1:12" ht="19.5" customHeight="1">
      <c r="A27" s="130"/>
      <c r="B27" s="313"/>
      <c r="C27" s="309" t="s">
        <v>893</v>
      </c>
      <c r="D27" s="21"/>
      <c r="E27" s="719"/>
      <c r="F27" s="720"/>
      <c r="G27" s="720"/>
      <c r="H27" s="720"/>
      <c r="I27" s="721"/>
      <c r="J27" s="140"/>
      <c r="K27" s="130"/>
    </row>
    <row r="28" spans="1:12" ht="15" customHeight="1">
      <c r="A28" s="130"/>
      <c r="B28" s="311" t="s">
        <v>335</v>
      </c>
      <c r="C28" s="312" t="s">
        <v>336</v>
      </c>
      <c r="D28" s="67"/>
      <c r="E28" s="722"/>
      <c r="F28" s="722"/>
      <c r="G28" s="723"/>
      <c r="H28" s="724"/>
      <c r="I28" s="725"/>
      <c r="J28" s="140"/>
      <c r="K28" s="140"/>
      <c r="L28" s="717"/>
    </row>
    <row r="29" spans="1:12" ht="15" customHeight="1">
      <c r="A29" s="130"/>
      <c r="B29" s="136" t="s">
        <v>27</v>
      </c>
      <c r="C29" s="135" t="s">
        <v>325</v>
      </c>
      <c r="D29" s="112"/>
      <c r="E29" s="704"/>
      <c r="F29" s="704"/>
      <c r="G29" s="704"/>
      <c r="H29" s="704"/>
      <c r="I29" s="708"/>
      <c r="J29" s="130"/>
      <c r="K29" s="130"/>
    </row>
    <row r="30" spans="1:12" ht="15" customHeight="1">
      <c r="A30" s="130"/>
      <c r="B30" s="136" t="s">
        <v>29</v>
      </c>
      <c r="C30" s="135" t="s">
        <v>337</v>
      </c>
      <c r="D30" s="62" t="s">
        <v>326</v>
      </c>
      <c r="E30" s="703"/>
      <c r="F30" s="703"/>
      <c r="G30" s="704"/>
      <c r="H30" s="707"/>
      <c r="I30" s="708"/>
      <c r="J30" s="130"/>
      <c r="K30" s="130"/>
    </row>
    <row r="31" spans="1:12" ht="15" customHeight="1">
      <c r="A31" s="130"/>
      <c r="B31" s="136" t="s">
        <v>207</v>
      </c>
      <c r="C31" s="133" t="s">
        <v>330</v>
      </c>
      <c r="D31" s="112" t="s">
        <v>326</v>
      </c>
      <c r="E31" s="726"/>
      <c r="F31" s="726"/>
      <c r="G31" s="727"/>
      <c r="H31" s="728"/>
      <c r="I31" s="729"/>
      <c r="J31" s="130"/>
      <c r="K31" s="130"/>
    </row>
    <row r="32" spans="1:12" ht="15" customHeight="1">
      <c r="A32" s="130"/>
      <c r="B32" s="136" t="s">
        <v>86</v>
      </c>
      <c r="C32" s="135" t="s">
        <v>334</v>
      </c>
      <c r="D32" s="62" t="s">
        <v>11</v>
      </c>
      <c r="E32" s="305" t="e">
        <f>(E31/E30)*100</f>
        <v>#DIV/0!</v>
      </c>
      <c r="F32" s="305" t="e">
        <f>(F31/F30)*100</f>
        <v>#DIV/0!</v>
      </c>
      <c r="G32" s="305" t="e">
        <f t="shared" ref="G32:I32" si="2">(G31/G30)*100</f>
        <v>#DIV/0!</v>
      </c>
      <c r="H32" s="305" t="e">
        <f t="shared" si="2"/>
        <v>#DIV/0!</v>
      </c>
      <c r="I32" s="305" t="e">
        <f t="shared" si="2"/>
        <v>#DIV/0!</v>
      </c>
      <c r="J32" s="130"/>
      <c r="K32" s="130"/>
    </row>
    <row r="33" spans="1:11" ht="15" customHeight="1">
      <c r="A33" s="130"/>
      <c r="B33" s="311" t="s">
        <v>338</v>
      </c>
      <c r="C33" s="312" t="s">
        <v>339</v>
      </c>
      <c r="D33" s="67"/>
      <c r="E33" s="67"/>
      <c r="F33" s="67"/>
      <c r="G33" s="333"/>
      <c r="H33" s="334"/>
      <c r="I33" s="335"/>
      <c r="J33" s="130"/>
      <c r="K33" s="130"/>
    </row>
    <row r="34" spans="1:11" ht="15" customHeight="1">
      <c r="A34" s="130"/>
      <c r="B34" s="136" t="s">
        <v>27</v>
      </c>
      <c r="C34" s="135" t="s">
        <v>325</v>
      </c>
      <c r="D34" s="112"/>
      <c r="E34" s="726"/>
      <c r="F34" s="726"/>
      <c r="G34" s="704"/>
      <c r="H34" s="707"/>
      <c r="I34" s="708"/>
      <c r="J34" s="130"/>
      <c r="K34" s="130"/>
    </row>
    <row r="35" spans="1:11" ht="15" customHeight="1">
      <c r="A35" s="130"/>
      <c r="B35" s="136" t="s">
        <v>29</v>
      </c>
      <c r="C35" s="135" t="s">
        <v>337</v>
      </c>
      <c r="D35" s="62" t="s">
        <v>326</v>
      </c>
      <c r="E35" s="703"/>
      <c r="F35" s="703"/>
      <c r="G35" s="704"/>
      <c r="H35" s="707"/>
      <c r="I35" s="708"/>
      <c r="J35" s="130"/>
      <c r="K35" s="130"/>
    </row>
    <row r="36" spans="1:11" ht="15" customHeight="1">
      <c r="A36" s="130"/>
      <c r="B36" s="136" t="s">
        <v>207</v>
      </c>
      <c r="C36" s="133" t="s">
        <v>330</v>
      </c>
      <c r="D36" s="112" t="s">
        <v>326</v>
      </c>
      <c r="E36" s="726"/>
      <c r="F36" s="726"/>
      <c r="G36" s="727"/>
      <c r="H36" s="728"/>
      <c r="I36" s="729"/>
      <c r="J36" s="130"/>
      <c r="K36" s="130"/>
    </row>
    <row r="37" spans="1:11" ht="15" customHeight="1">
      <c r="A37" s="130"/>
      <c r="B37" s="136" t="s">
        <v>86</v>
      </c>
      <c r="C37" s="135" t="s">
        <v>334</v>
      </c>
      <c r="D37" s="62" t="s">
        <v>11</v>
      </c>
      <c r="E37" s="305" t="e">
        <f>(E36/E35)*100</f>
        <v>#DIV/0!</v>
      </c>
      <c r="F37" s="305" t="e">
        <f>(F36/F35)*100</f>
        <v>#DIV/0!</v>
      </c>
      <c r="G37" s="305" t="e">
        <f t="shared" ref="G37:I37" si="3">(G36/G35)*100</f>
        <v>#DIV/0!</v>
      </c>
      <c r="H37" s="305" t="e">
        <f t="shared" si="3"/>
        <v>#DIV/0!</v>
      </c>
      <c r="I37" s="341" t="e">
        <f t="shared" si="3"/>
        <v>#DIV/0!</v>
      </c>
      <c r="J37" s="130"/>
      <c r="K37" s="130"/>
    </row>
    <row r="38" spans="1:11" ht="15" customHeight="1">
      <c r="A38" s="130"/>
      <c r="B38" s="311" t="s">
        <v>340</v>
      </c>
      <c r="C38" s="312" t="s">
        <v>341</v>
      </c>
      <c r="D38" s="67"/>
      <c r="E38" s="67"/>
      <c r="F38" s="67"/>
      <c r="G38" s="67"/>
      <c r="H38" s="336"/>
      <c r="I38" s="337"/>
      <c r="J38" s="130"/>
      <c r="K38" s="130"/>
    </row>
    <row r="39" spans="1:11" ht="15" customHeight="1">
      <c r="A39" s="130"/>
      <c r="B39" s="136" t="s">
        <v>27</v>
      </c>
      <c r="C39" s="135" t="s">
        <v>325</v>
      </c>
      <c r="D39" s="112"/>
      <c r="E39" s="726"/>
      <c r="F39" s="726"/>
      <c r="G39" s="704"/>
      <c r="H39" s="707"/>
      <c r="I39" s="708"/>
      <c r="J39" s="130"/>
      <c r="K39" s="130"/>
    </row>
    <row r="40" spans="1:11" ht="15" customHeight="1">
      <c r="A40" s="130"/>
      <c r="B40" s="136" t="s">
        <v>29</v>
      </c>
      <c r="C40" s="135" t="s">
        <v>337</v>
      </c>
      <c r="D40" s="62" t="s">
        <v>326</v>
      </c>
      <c r="E40" s="703"/>
      <c r="F40" s="703"/>
      <c r="G40" s="704"/>
      <c r="H40" s="707"/>
      <c r="I40" s="708"/>
      <c r="J40" s="130"/>
      <c r="K40" s="130"/>
    </row>
    <row r="41" spans="1:11" ht="15" customHeight="1">
      <c r="A41" s="130"/>
      <c r="B41" s="136" t="s">
        <v>207</v>
      </c>
      <c r="C41" s="133" t="s">
        <v>330</v>
      </c>
      <c r="D41" s="112" t="s">
        <v>326</v>
      </c>
      <c r="E41" s="726"/>
      <c r="F41" s="726"/>
      <c r="G41" s="727"/>
      <c r="H41" s="728"/>
      <c r="I41" s="729"/>
      <c r="J41" s="130"/>
      <c r="K41" s="130"/>
    </row>
    <row r="42" spans="1:11" ht="15" customHeight="1">
      <c r="A42" s="130"/>
      <c r="B42" s="136" t="s">
        <v>86</v>
      </c>
      <c r="C42" s="135" t="s">
        <v>334</v>
      </c>
      <c r="D42" s="62" t="s">
        <v>11</v>
      </c>
      <c r="E42" s="305" t="e">
        <f>(E41/E40)*100</f>
        <v>#DIV/0!</v>
      </c>
      <c r="F42" s="305" t="e">
        <f>(F41/F40)*100</f>
        <v>#DIV/0!</v>
      </c>
      <c r="G42" s="305" t="e">
        <f t="shared" ref="G42:I42" si="4">(G41/G40)*100</f>
        <v>#DIV/0!</v>
      </c>
      <c r="H42" s="305" t="e">
        <f t="shared" si="4"/>
        <v>#DIV/0!</v>
      </c>
      <c r="I42" s="341" t="e">
        <f t="shared" si="4"/>
        <v>#DIV/0!</v>
      </c>
      <c r="J42" s="130"/>
      <c r="K42" s="130"/>
    </row>
    <row r="43" spans="1:11" ht="15" customHeight="1">
      <c r="A43" s="130"/>
      <c r="B43" s="311" t="s">
        <v>342</v>
      </c>
      <c r="C43" s="312" t="s">
        <v>343</v>
      </c>
      <c r="D43" s="67"/>
      <c r="E43" s="67"/>
      <c r="F43" s="67"/>
      <c r="G43" s="333"/>
      <c r="H43" s="334"/>
      <c r="I43" s="335"/>
      <c r="J43" s="130"/>
      <c r="K43" s="130"/>
    </row>
    <row r="44" spans="1:11" ht="15" customHeight="1">
      <c r="A44" s="130"/>
      <c r="B44" s="136" t="s">
        <v>27</v>
      </c>
      <c r="C44" s="135" t="s">
        <v>325</v>
      </c>
      <c r="D44" s="112"/>
      <c r="E44" s="726"/>
      <c r="F44" s="726"/>
      <c r="G44" s="704"/>
      <c r="H44" s="707"/>
      <c r="I44" s="708"/>
      <c r="J44" s="130"/>
      <c r="K44" s="130"/>
    </row>
    <row r="45" spans="1:11" ht="15" customHeight="1">
      <c r="A45" s="130"/>
      <c r="B45" s="136" t="s">
        <v>29</v>
      </c>
      <c r="C45" s="135" t="s">
        <v>337</v>
      </c>
      <c r="D45" s="62" t="s">
        <v>326</v>
      </c>
      <c r="E45" s="703"/>
      <c r="F45" s="703"/>
      <c r="G45" s="704"/>
      <c r="H45" s="707"/>
      <c r="I45" s="708"/>
      <c r="J45" s="130"/>
      <c r="K45" s="130"/>
    </row>
    <row r="46" spans="1:11" ht="15" customHeight="1">
      <c r="A46" s="130"/>
      <c r="B46" s="136" t="s">
        <v>207</v>
      </c>
      <c r="C46" s="133" t="s">
        <v>330</v>
      </c>
      <c r="D46" s="112" t="s">
        <v>326</v>
      </c>
      <c r="E46" s="726"/>
      <c r="F46" s="726"/>
      <c r="G46" s="727"/>
      <c r="H46" s="728"/>
      <c r="I46" s="729"/>
      <c r="J46" s="130"/>
      <c r="K46" s="130"/>
    </row>
    <row r="47" spans="1:11" ht="15" customHeight="1">
      <c r="A47" s="130"/>
      <c r="B47" s="136" t="s">
        <v>86</v>
      </c>
      <c r="C47" s="135" t="s">
        <v>334</v>
      </c>
      <c r="D47" s="62" t="s">
        <v>11</v>
      </c>
      <c r="E47" s="305" t="e">
        <f>(E46/E45)*100</f>
        <v>#DIV/0!</v>
      </c>
      <c r="F47" s="305" t="e">
        <f>(F46/F45)*100</f>
        <v>#DIV/0!</v>
      </c>
      <c r="G47" s="305" t="e">
        <f t="shared" ref="G47:I47" si="5">(G46/G45)*100</f>
        <v>#DIV/0!</v>
      </c>
      <c r="H47" s="305" t="e">
        <f t="shared" si="5"/>
        <v>#DIV/0!</v>
      </c>
      <c r="I47" s="341" t="e">
        <f t="shared" si="5"/>
        <v>#DIV/0!</v>
      </c>
      <c r="J47" s="130"/>
      <c r="K47" s="130"/>
    </row>
    <row r="48" spans="1:11" ht="15" customHeight="1">
      <c r="A48" s="130"/>
      <c r="B48" s="311" t="s">
        <v>344</v>
      </c>
      <c r="C48" s="312" t="s">
        <v>345</v>
      </c>
      <c r="D48" s="67"/>
      <c r="E48" s="67"/>
      <c r="F48" s="67"/>
      <c r="G48" s="67"/>
      <c r="H48" s="336"/>
      <c r="I48" s="337"/>
      <c r="J48" s="130"/>
      <c r="K48" s="130"/>
    </row>
    <row r="49" spans="1:11" ht="15" customHeight="1">
      <c r="A49" s="130"/>
      <c r="B49" s="136" t="s">
        <v>27</v>
      </c>
      <c r="C49" s="135" t="s">
        <v>325</v>
      </c>
      <c r="D49" s="112"/>
      <c r="E49" s="726"/>
      <c r="F49" s="726"/>
      <c r="G49" s="704"/>
      <c r="H49" s="707"/>
      <c r="I49" s="708"/>
      <c r="J49" s="130"/>
      <c r="K49" s="130"/>
    </row>
    <row r="50" spans="1:11" ht="15" customHeight="1">
      <c r="A50" s="130"/>
      <c r="B50" s="136" t="s">
        <v>29</v>
      </c>
      <c r="C50" s="135" t="s">
        <v>337</v>
      </c>
      <c r="D50" s="62" t="s">
        <v>326</v>
      </c>
      <c r="E50" s="703"/>
      <c r="F50" s="703"/>
      <c r="G50" s="704"/>
      <c r="H50" s="707"/>
      <c r="I50" s="708"/>
      <c r="J50" s="130"/>
      <c r="K50" s="130"/>
    </row>
    <row r="51" spans="1:11" ht="15" customHeight="1">
      <c r="A51" s="130"/>
      <c r="B51" s="136" t="s">
        <v>207</v>
      </c>
      <c r="C51" s="133" t="s">
        <v>330</v>
      </c>
      <c r="D51" s="112" t="s">
        <v>326</v>
      </c>
      <c r="E51" s="730"/>
      <c r="F51" s="730"/>
      <c r="G51" s="727"/>
      <c r="H51" s="727"/>
      <c r="I51" s="731"/>
      <c r="J51" s="130"/>
      <c r="K51" s="130"/>
    </row>
    <row r="52" spans="1:11" ht="15" customHeight="1">
      <c r="A52" s="130"/>
      <c r="B52" s="136" t="s">
        <v>86</v>
      </c>
      <c r="C52" s="135" t="s">
        <v>334</v>
      </c>
      <c r="D52" s="62" t="s">
        <v>11</v>
      </c>
      <c r="E52" s="305" t="e">
        <f>(E51/E50)*100</f>
        <v>#DIV/0!</v>
      </c>
      <c r="F52" s="305" t="e">
        <f>(F51/F50)*100</f>
        <v>#DIV/0!</v>
      </c>
      <c r="G52" s="305" t="e">
        <f t="shared" ref="G52:I52" si="6">(G51/G50)*100</f>
        <v>#DIV/0!</v>
      </c>
      <c r="H52" s="305" t="e">
        <f t="shared" si="6"/>
        <v>#DIV/0!</v>
      </c>
      <c r="I52" s="341" t="e">
        <f t="shared" si="6"/>
        <v>#DIV/0!</v>
      </c>
      <c r="J52" s="130"/>
      <c r="K52" s="130"/>
    </row>
    <row r="53" spans="1:11" ht="15" customHeight="1">
      <c r="A53" s="130"/>
      <c r="B53" s="263" t="s">
        <v>346</v>
      </c>
      <c r="C53" s="323" t="s">
        <v>347</v>
      </c>
      <c r="D53" s="310"/>
      <c r="E53" s="310"/>
      <c r="F53" s="310"/>
      <c r="G53" s="310"/>
      <c r="H53" s="326"/>
      <c r="I53" s="327"/>
      <c r="J53" s="130"/>
      <c r="K53" s="130"/>
    </row>
    <row r="54" spans="1:11" ht="15" customHeight="1">
      <c r="A54" s="130"/>
      <c r="B54" s="324" t="s">
        <v>348</v>
      </c>
      <c r="C54" s="325" t="s">
        <v>349</v>
      </c>
      <c r="D54" s="21"/>
      <c r="E54" s="21"/>
      <c r="F54" s="21"/>
      <c r="G54" s="21"/>
      <c r="H54" s="332"/>
      <c r="I54" s="340"/>
      <c r="J54" s="130"/>
      <c r="K54" s="130"/>
    </row>
    <row r="55" spans="1:11" ht="15" customHeight="1">
      <c r="A55" s="130"/>
      <c r="B55" s="132" t="s">
        <v>44</v>
      </c>
      <c r="C55" s="144" t="s">
        <v>350</v>
      </c>
      <c r="D55" s="62" t="s">
        <v>351</v>
      </c>
      <c r="E55" s="703"/>
      <c r="F55" s="703"/>
      <c r="G55" s="703"/>
      <c r="H55" s="733"/>
      <c r="I55" s="705"/>
      <c r="J55" s="130"/>
      <c r="K55" s="130"/>
    </row>
    <row r="56" spans="1:11" ht="15" customHeight="1">
      <c r="A56" s="130"/>
      <c r="B56" s="132" t="s">
        <v>45</v>
      </c>
      <c r="C56" s="144" t="s">
        <v>352</v>
      </c>
      <c r="D56" s="62" t="s">
        <v>353</v>
      </c>
      <c r="E56" s="703"/>
      <c r="F56" s="703"/>
      <c r="G56" s="703"/>
      <c r="H56" s="733"/>
      <c r="I56" s="705"/>
      <c r="J56" s="130"/>
      <c r="K56" s="130"/>
    </row>
    <row r="57" spans="1:11" ht="21" customHeight="1">
      <c r="A57" s="130"/>
      <c r="B57" s="132" t="s">
        <v>69</v>
      </c>
      <c r="C57" s="145" t="s">
        <v>827</v>
      </c>
      <c r="D57" s="62" t="s">
        <v>351</v>
      </c>
      <c r="E57" s="703"/>
      <c r="F57" s="703"/>
      <c r="G57" s="703"/>
      <c r="H57" s="703"/>
      <c r="I57" s="708"/>
      <c r="J57" s="130"/>
      <c r="K57" s="130"/>
    </row>
    <row r="58" spans="1:11" ht="15" customHeight="1">
      <c r="A58" s="130"/>
      <c r="B58" s="136" t="s">
        <v>116</v>
      </c>
      <c r="C58" s="135" t="s">
        <v>354</v>
      </c>
      <c r="D58" s="62" t="s">
        <v>355</v>
      </c>
      <c r="E58" s="703"/>
      <c r="F58" s="703"/>
      <c r="G58" s="703"/>
      <c r="H58" s="733"/>
      <c r="I58" s="708"/>
      <c r="J58" s="130"/>
      <c r="K58" s="140"/>
    </row>
    <row r="59" spans="1:11" ht="15" customHeight="1">
      <c r="A59" s="130"/>
      <c r="B59" s="136" t="s">
        <v>117</v>
      </c>
      <c r="C59" s="135" t="s">
        <v>356</v>
      </c>
      <c r="D59" s="62" t="s">
        <v>357</v>
      </c>
      <c r="E59" s="703"/>
      <c r="F59" s="703"/>
      <c r="G59" s="703"/>
      <c r="H59" s="733"/>
      <c r="I59" s="708"/>
      <c r="J59" s="130"/>
      <c r="K59" s="140"/>
    </row>
    <row r="60" spans="1:11" ht="15" customHeight="1">
      <c r="A60" s="130"/>
      <c r="B60" s="136" t="s">
        <v>373</v>
      </c>
      <c r="C60" s="135" t="s">
        <v>358</v>
      </c>
      <c r="D60" s="62" t="s">
        <v>167</v>
      </c>
      <c r="E60" s="703"/>
      <c r="F60" s="703"/>
      <c r="G60" s="703"/>
      <c r="H60" s="733"/>
      <c r="I60" s="708"/>
      <c r="J60" s="130"/>
      <c r="K60" s="130"/>
    </row>
    <row r="61" spans="1:11" ht="29.25" customHeight="1">
      <c r="A61" s="130"/>
      <c r="B61" s="136" t="s">
        <v>376</v>
      </c>
      <c r="C61" s="133" t="s">
        <v>359</v>
      </c>
      <c r="D61" s="112" t="s">
        <v>360</v>
      </c>
      <c r="E61" s="328">
        <f>(E57)*2860*10^5/10^7</f>
        <v>0</v>
      </c>
      <c r="F61" s="328">
        <f>(F57)*2860*10^5/10^7</f>
        <v>0</v>
      </c>
      <c r="G61" s="328">
        <f t="shared" ref="G61:I61" si="7">(G57)*2860*10^5/10^7</f>
        <v>0</v>
      </c>
      <c r="H61" s="328">
        <f t="shared" si="7"/>
        <v>0</v>
      </c>
      <c r="I61" s="328">
        <f t="shared" si="7"/>
        <v>0</v>
      </c>
      <c r="J61" s="130"/>
      <c r="K61" s="137"/>
    </row>
    <row r="62" spans="1:11" ht="15" customHeight="1">
      <c r="A62" s="130"/>
      <c r="B62" s="136"/>
      <c r="C62" s="135"/>
      <c r="D62" s="62"/>
      <c r="E62" s="62"/>
      <c r="F62" s="62"/>
      <c r="G62" s="62"/>
      <c r="H62" s="302"/>
      <c r="I62" s="63"/>
      <c r="J62" s="130"/>
      <c r="K62" s="130"/>
    </row>
    <row r="63" spans="1:11" ht="15" customHeight="1">
      <c r="A63" s="130"/>
      <c r="B63" s="342" t="s">
        <v>361</v>
      </c>
      <c r="C63" s="264" t="s">
        <v>894</v>
      </c>
      <c r="D63" s="21"/>
      <c r="E63" s="21"/>
      <c r="F63" s="21"/>
      <c r="G63" s="338"/>
      <c r="H63" s="339"/>
      <c r="I63" s="340"/>
      <c r="J63" s="130"/>
      <c r="K63" s="148"/>
    </row>
    <row r="64" spans="1:11" ht="15" customHeight="1">
      <c r="A64" s="130"/>
      <c r="B64" s="343" t="s">
        <v>362</v>
      </c>
      <c r="C64" s="264" t="s">
        <v>363</v>
      </c>
      <c r="D64" s="62"/>
      <c r="E64" s="183"/>
      <c r="F64" s="183"/>
      <c r="G64" s="147"/>
      <c r="H64" s="147"/>
      <c r="I64" s="386"/>
      <c r="J64" s="130"/>
      <c r="K64" s="130"/>
    </row>
    <row r="65" spans="1:16" ht="19.5" customHeight="1">
      <c r="A65" s="130"/>
      <c r="B65" s="163" t="s">
        <v>364</v>
      </c>
      <c r="C65" s="344" t="s">
        <v>365</v>
      </c>
      <c r="D65" s="62"/>
      <c r="E65" s="62"/>
      <c r="F65" s="62"/>
      <c r="G65" s="62"/>
      <c r="H65" s="302"/>
      <c r="I65" s="63"/>
      <c r="J65" s="130"/>
      <c r="K65" s="130"/>
    </row>
    <row r="66" spans="1:16" ht="19.5" customHeight="1">
      <c r="A66" s="130"/>
      <c r="B66" s="136" t="s">
        <v>44</v>
      </c>
      <c r="C66" s="135" t="s">
        <v>366</v>
      </c>
      <c r="D66" s="62" t="s">
        <v>351</v>
      </c>
      <c r="E66" s="734"/>
      <c r="F66" s="734"/>
      <c r="G66" s="735"/>
      <c r="H66" s="735"/>
      <c r="I66" s="736"/>
      <c r="J66" s="130"/>
      <c r="K66" s="329"/>
      <c r="L66" s="738"/>
      <c r="M66" s="738"/>
      <c r="N66" s="738"/>
      <c r="O66" s="738"/>
      <c r="P66" s="739"/>
    </row>
    <row r="67" spans="1:16" ht="18.75" customHeight="1">
      <c r="A67" s="130"/>
      <c r="B67" s="136" t="s">
        <v>45</v>
      </c>
      <c r="C67" s="135" t="s">
        <v>367</v>
      </c>
      <c r="D67" s="62" t="s">
        <v>11</v>
      </c>
      <c r="E67" s="740"/>
      <c r="F67" s="740"/>
      <c r="G67" s="741"/>
      <c r="H67" s="741"/>
      <c r="I67" s="742"/>
      <c r="J67" s="130"/>
      <c r="K67" s="102"/>
      <c r="L67" s="743"/>
      <c r="M67" s="743"/>
      <c r="N67" s="738"/>
      <c r="O67" s="738"/>
      <c r="P67" s="744"/>
    </row>
    <row r="68" spans="1:16" s="749" customFormat="1" ht="20.25" customHeight="1">
      <c r="A68" s="151"/>
      <c r="B68" s="149" t="s">
        <v>69</v>
      </c>
      <c r="C68" s="139" t="s">
        <v>368</v>
      </c>
      <c r="D68" s="150" t="s">
        <v>351</v>
      </c>
      <c r="E68" s="745"/>
      <c r="F68" s="746"/>
      <c r="G68" s="741"/>
      <c r="H68" s="741"/>
      <c r="I68" s="747"/>
      <c r="J68" s="130"/>
      <c r="K68" s="331"/>
      <c r="L68" s="744"/>
      <c r="M68" s="744"/>
      <c r="N68" s="744"/>
      <c r="O68" s="748"/>
      <c r="P68" s="748"/>
    </row>
    <row r="69" spans="1:16" ht="15" customHeight="1">
      <c r="A69" s="130"/>
      <c r="B69" s="136" t="s">
        <v>116</v>
      </c>
      <c r="C69" s="135" t="s">
        <v>369</v>
      </c>
      <c r="D69" s="62" t="s">
        <v>370</v>
      </c>
      <c r="E69" s="741"/>
      <c r="F69" s="741"/>
      <c r="G69" s="750"/>
      <c r="H69" s="750"/>
      <c r="I69" s="736"/>
      <c r="J69" s="130"/>
      <c r="K69" s="330"/>
      <c r="L69" s="739"/>
      <c r="M69" s="739"/>
      <c r="N69" s="738"/>
      <c r="O69" s="738"/>
      <c r="P69" s="737"/>
    </row>
    <row r="70" spans="1:16" ht="15" customHeight="1">
      <c r="A70" s="130"/>
      <c r="B70" s="152" t="s">
        <v>117</v>
      </c>
      <c r="C70" s="135" t="s">
        <v>371</v>
      </c>
      <c r="D70" s="62" t="s">
        <v>372</v>
      </c>
      <c r="E70" s="740"/>
      <c r="F70" s="740"/>
      <c r="G70" s="741"/>
      <c r="H70" s="741"/>
      <c r="I70" s="742"/>
      <c r="J70" s="130"/>
      <c r="K70" s="130"/>
    </row>
    <row r="71" spans="1:16" ht="15" customHeight="1">
      <c r="A71" s="130"/>
      <c r="B71" s="152" t="s">
        <v>373</v>
      </c>
      <c r="C71" s="135" t="s">
        <v>374</v>
      </c>
      <c r="D71" s="62" t="s">
        <v>375</v>
      </c>
      <c r="E71" s="751"/>
      <c r="F71" s="751"/>
      <c r="G71" s="750"/>
      <c r="H71" s="750"/>
      <c r="I71" s="752"/>
      <c r="J71" s="130"/>
      <c r="K71" s="130"/>
    </row>
    <row r="72" spans="1:16" s="749" customFormat="1" ht="19.5" customHeight="1">
      <c r="A72" s="151"/>
      <c r="B72" s="149" t="s">
        <v>376</v>
      </c>
      <c r="C72" s="139" t="s">
        <v>377</v>
      </c>
      <c r="D72" s="150" t="s">
        <v>351</v>
      </c>
      <c r="E72" s="745"/>
      <c r="F72" s="745"/>
      <c r="G72" s="741"/>
      <c r="H72" s="741"/>
      <c r="I72" s="753"/>
      <c r="J72" s="130"/>
      <c r="K72" s="130"/>
    </row>
    <row r="73" spans="1:16" ht="15" customHeight="1">
      <c r="A73" s="130"/>
      <c r="B73" s="152" t="s">
        <v>378</v>
      </c>
      <c r="C73" s="142" t="s">
        <v>854</v>
      </c>
      <c r="D73" s="62"/>
      <c r="E73" s="754"/>
      <c r="F73" s="754"/>
      <c r="G73" s="754"/>
      <c r="H73" s="755"/>
      <c r="I73" s="756"/>
      <c r="J73" s="130"/>
      <c r="K73" s="130"/>
    </row>
    <row r="74" spans="1:16" ht="15" customHeight="1">
      <c r="A74" s="130"/>
      <c r="B74" s="152" t="s">
        <v>44</v>
      </c>
      <c r="C74" s="135" t="s">
        <v>380</v>
      </c>
      <c r="D74" s="62" t="s">
        <v>381</v>
      </c>
      <c r="E74" s="704"/>
      <c r="F74" s="704"/>
      <c r="G74" s="757"/>
      <c r="H74" s="757"/>
      <c r="I74" s="708"/>
      <c r="J74" s="130"/>
      <c r="K74" s="130"/>
    </row>
    <row r="75" spans="1:16" ht="15" customHeight="1">
      <c r="A75" s="130"/>
      <c r="B75" s="136" t="s">
        <v>45</v>
      </c>
      <c r="C75" s="345" t="s">
        <v>382</v>
      </c>
      <c r="D75" s="346" t="s">
        <v>381</v>
      </c>
      <c r="E75" s="704"/>
      <c r="F75" s="704"/>
      <c r="G75" s="757"/>
      <c r="H75" s="757"/>
      <c r="I75" s="708"/>
      <c r="J75" s="130"/>
      <c r="K75" s="130"/>
    </row>
    <row r="76" spans="1:16" ht="15" customHeight="1">
      <c r="A76" s="130"/>
      <c r="B76" s="136" t="s">
        <v>69</v>
      </c>
      <c r="C76" s="135" t="s">
        <v>383</v>
      </c>
      <c r="D76" s="62" t="s">
        <v>384</v>
      </c>
      <c r="E76" s="757"/>
      <c r="F76" s="757"/>
      <c r="G76" s="757"/>
      <c r="H76" s="759"/>
      <c r="I76" s="708"/>
      <c r="J76" s="130"/>
      <c r="K76" s="130"/>
    </row>
    <row r="77" spans="1:16" ht="15" customHeight="1">
      <c r="A77" s="130"/>
      <c r="B77" s="136" t="s">
        <v>116</v>
      </c>
      <c r="C77" s="135" t="s">
        <v>385</v>
      </c>
      <c r="D77" s="62" t="s">
        <v>386</v>
      </c>
      <c r="E77" s="760"/>
      <c r="F77" s="760"/>
      <c r="G77" s="757"/>
      <c r="H77" s="757"/>
      <c r="I77" s="761"/>
      <c r="J77" s="130"/>
      <c r="K77" s="130"/>
    </row>
    <row r="78" spans="1:16" ht="30" customHeight="1">
      <c r="A78" s="130"/>
      <c r="B78" s="132" t="s">
        <v>387</v>
      </c>
      <c r="C78" s="133" t="s">
        <v>388</v>
      </c>
      <c r="D78" s="62" t="s">
        <v>360</v>
      </c>
      <c r="E78" s="341">
        <f>(E72*E71*10^5)/(10^7)</f>
        <v>0</v>
      </c>
      <c r="F78" s="341">
        <f>(F72*F71*10^5)/(10^7)</f>
        <v>0</v>
      </c>
      <c r="G78" s="341">
        <f t="shared" ref="G78:I78" si="8">(G72*G71*10^5)/(10^7)</f>
        <v>0</v>
      </c>
      <c r="H78" s="341">
        <f t="shared" si="8"/>
        <v>0</v>
      </c>
      <c r="I78" s="341">
        <f t="shared" si="8"/>
        <v>0</v>
      </c>
      <c r="J78" s="130"/>
      <c r="K78" s="140"/>
    </row>
    <row r="79" spans="1:16" ht="6" customHeight="1">
      <c r="A79" s="130"/>
      <c r="B79" s="132"/>
      <c r="C79" s="133"/>
      <c r="D79" s="153"/>
      <c r="E79" s="154"/>
      <c r="F79" s="154"/>
      <c r="G79" s="154"/>
      <c r="H79" s="154"/>
      <c r="I79" s="146"/>
      <c r="J79" s="130"/>
      <c r="K79" s="130"/>
    </row>
    <row r="80" spans="1:16" ht="15" customHeight="1">
      <c r="A80" s="130"/>
      <c r="B80" s="347" t="s">
        <v>389</v>
      </c>
      <c r="C80" s="348" t="s">
        <v>390</v>
      </c>
      <c r="D80" s="62"/>
      <c r="E80" s="62"/>
      <c r="F80" s="62"/>
      <c r="G80" s="62"/>
      <c r="H80" s="302"/>
      <c r="I80" s="63"/>
      <c r="J80" s="130"/>
      <c r="K80" s="130"/>
    </row>
    <row r="81" spans="1:13" ht="15" customHeight="1">
      <c r="A81" s="130"/>
      <c r="B81" s="163" t="s">
        <v>391</v>
      </c>
      <c r="C81" s="344" t="s">
        <v>365</v>
      </c>
      <c r="D81" s="62"/>
      <c r="E81" s="62"/>
      <c r="F81" s="62"/>
      <c r="G81" s="62"/>
      <c r="H81" s="302"/>
      <c r="I81" s="63"/>
      <c r="J81" s="130"/>
      <c r="K81" s="130"/>
    </row>
    <row r="82" spans="1:13" ht="18.75" customHeight="1">
      <c r="A82" s="130"/>
      <c r="B82" s="136" t="s">
        <v>44</v>
      </c>
      <c r="C82" s="135" t="s">
        <v>366</v>
      </c>
      <c r="D82" s="62" t="s">
        <v>351</v>
      </c>
      <c r="E82" s="703"/>
      <c r="F82" s="703"/>
      <c r="G82" s="703"/>
      <c r="H82" s="733"/>
      <c r="I82" s="705"/>
      <c r="J82" s="130"/>
      <c r="K82" s="130"/>
    </row>
    <row r="83" spans="1:13" ht="15" customHeight="1">
      <c r="A83" s="130"/>
      <c r="B83" s="136" t="s">
        <v>45</v>
      </c>
      <c r="C83" s="135" t="s">
        <v>367</v>
      </c>
      <c r="D83" s="62" t="s">
        <v>11</v>
      </c>
      <c r="E83" s="704"/>
      <c r="F83" s="704"/>
      <c r="G83" s="703"/>
      <c r="H83" s="733"/>
      <c r="I83" s="708"/>
      <c r="J83" s="130"/>
      <c r="K83" s="130"/>
    </row>
    <row r="84" spans="1:13" ht="16.5" customHeight="1">
      <c r="A84" s="130"/>
      <c r="B84" s="136" t="s">
        <v>69</v>
      </c>
      <c r="C84" s="135" t="s">
        <v>368</v>
      </c>
      <c r="D84" s="62" t="s">
        <v>351</v>
      </c>
      <c r="E84" s="703"/>
      <c r="F84" s="703"/>
      <c r="G84" s="703"/>
      <c r="H84" s="733"/>
      <c r="I84" s="708"/>
      <c r="J84" s="130"/>
      <c r="K84" s="130"/>
      <c r="M84" s="738"/>
    </row>
    <row r="85" spans="1:13" ht="15" customHeight="1">
      <c r="A85" s="130"/>
      <c r="B85" s="136" t="s">
        <v>116</v>
      </c>
      <c r="C85" s="135" t="s">
        <v>369</v>
      </c>
      <c r="D85" s="62" t="s">
        <v>370</v>
      </c>
      <c r="E85" s="704"/>
      <c r="F85" s="704"/>
      <c r="G85" s="703"/>
      <c r="H85" s="733"/>
      <c r="I85" s="708"/>
      <c r="J85" s="130"/>
      <c r="K85" s="130"/>
    </row>
    <row r="86" spans="1:13" ht="15" customHeight="1">
      <c r="A86" s="130"/>
      <c r="B86" s="152" t="s">
        <v>117</v>
      </c>
      <c r="C86" s="135" t="s">
        <v>371</v>
      </c>
      <c r="D86" s="62" t="s">
        <v>372</v>
      </c>
      <c r="E86" s="704"/>
      <c r="F86" s="704"/>
      <c r="G86" s="703"/>
      <c r="H86" s="733"/>
      <c r="I86" s="708"/>
      <c r="J86" s="130"/>
      <c r="K86" s="130"/>
    </row>
    <row r="87" spans="1:13" ht="15" customHeight="1">
      <c r="A87" s="130"/>
      <c r="B87" s="152" t="s">
        <v>373</v>
      </c>
      <c r="C87" s="135" t="s">
        <v>374</v>
      </c>
      <c r="D87" s="62" t="s">
        <v>375</v>
      </c>
      <c r="E87" s="704"/>
      <c r="F87" s="704"/>
      <c r="G87" s="703"/>
      <c r="H87" s="733"/>
      <c r="I87" s="762"/>
      <c r="J87" s="130"/>
      <c r="K87" s="130"/>
      <c r="L87" s="763"/>
    </row>
    <row r="88" spans="1:13" ht="20.25" customHeight="1">
      <c r="A88" s="130"/>
      <c r="B88" s="136" t="s">
        <v>376</v>
      </c>
      <c r="C88" s="135" t="s">
        <v>377</v>
      </c>
      <c r="D88" s="62" t="s">
        <v>351</v>
      </c>
      <c r="E88" s="703"/>
      <c r="F88" s="703"/>
      <c r="G88" s="703"/>
      <c r="H88" s="733"/>
      <c r="I88" s="708"/>
      <c r="J88" s="130"/>
      <c r="K88" s="130"/>
    </row>
    <row r="89" spans="1:13" ht="15" customHeight="1">
      <c r="A89" s="130"/>
      <c r="B89" s="156" t="s">
        <v>392</v>
      </c>
      <c r="C89" s="142" t="s">
        <v>379</v>
      </c>
      <c r="D89" s="62"/>
      <c r="E89" s="700"/>
      <c r="F89" s="700"/>
      <c r="G89" s="754"/>
      <c r="H89" s="755"/>
      <c r="I89" s="756"/>
      <c r="J89" s="130"/>
      <c r="K89" s="130"/>
    </row>
    <row r="90" spans="1:13" ht="15" customHeight="1">
      <c r="A90" s="130"/>
      <c r="B90" s="157" t="s">
        <v>393</v>
      </c>
      <c r="C90" s="158" t="s">
        <v>394</v>
      </c>
      <c r="D90" s="62"/>
      <c r="E90" s="703"/>
      <c r="F90" s="703"/>
      <c r="G90" s="704"/>
      <c r="H90" s="707"/>
      <c r="I90" s="708"/>
      <c r="J90" s="130"/>
      <c r="K90" s="130"/>
    </row>
    <row r="91" spans="1:13" ht="15" customHeight="1">
      <c r="A91" s="130"/>
      <c r="B91" s="136" t="s">
        <v>44</v>
      </c>
      <c r="C91" s="135" t="s">
        <v>380</v>
      </c>
      <c r="D91" s="62" t="s">
        <v>381</v>
      </c>
      <c r="E91" s="704"/>
      <c r="F91" s="704"/>
      <c r="G91" s="704"/>
      <c r="H91" s="707"/>
      <c r="I91" s="708"/>
      <c r="J91" s="130"/>
      <c r="K91" s="130"/>
    </row>
    <row r="92" spans="1:13" ht="15" customHeight="1">
      <c r="A92" s="130"/>
      <c r="B92" s="136" t="s">
        <v>45</v>
      </c>
      <c r="C92" s="345" t="s">
        <v>382</v>
      </c>
      <c r="D92" s="346" t="s">
        <v>381</v>
      </c>
      <c r="E92" s="704"/>
      <c r="F92" s="704"/>
      <c r="G92" s="704"/>
      <c r="H92" s="707"/>
      <c r="I92" s="708"/>
      <c r="J92" s="130"/>
      <c r="K92" s="130"/>
    </row>
    <row r="93" spans="1:13" ht="21" customHeight="1">
      <c r="A93" s="130"/>
      <c r="B93" s="136" t="s">
        <v>69</v>
      </c>
      <c r="C93" s="135" t="s">
        <v>383</v>
      </c>
      <c r="D93" s="62" t="s">
        <v>852</v>
      </c>
      <c r="E93" s="704"/>
      <c r="F93" s="704"/>
      <c r="G93" s="704"/>
      <c r="H93" s="707"/>
      <c r="I93" s="708"/>
      <c r="J93" s="130"/>
      <c r="K93" s="130"/>
    </row>
    <row r="94" spans="1:13" ht="15" customHeight="1">
      <c r="A94" s="130"/>
      <c r="B94" s="157" t="s">
        <v>396</v>
      </c>
      <c r="C94" s="349" t="s">
        <v>895</v>
      </c>
      <c r="D94" s="346"/>
      <c r="E94" s="758"/>
      <c r="F94" s="758"/>
      <c r="G94" s="754"/>
      <c r="H94" s="755"/>
      <c r="I94" s="702"/>
      <c r="J94" s="130"/>
      <c r="K94" s="130"/>
    </row>
    <row r="95" spans="1:13" ht="15" customHeight="1">
      <c r="A95" s="130"/>
      <c r="B95" s="136" t="s">
        <v>44</v>
      </c>
      <c r="C95" s="345" t="s">
        <v>380</v>
      </c>
      <c r="D95" s="346" t="s">
        <v>381</v>
      </c>
      <c r="E95" s="764"/>
      <c r="F95" s="764"/>
      <c r="G95" s="704"/>
      <c r="H95" s="707"/>
      <c r="I95" s="708"/>
      <c r="J95" s="130"/>
      <c r="K95" s="130"/>
    </row>
    <row r="96" spans="1:13" ht="15" customHeight="1">
      <c r="A96" s="130"/>
      <c r="B96" s="136" t="s">
        <v>45</v>
      </c>
      <c r="C96" s="345" t="s">
        <v>382</v>
      </c>
      <c r="D96" s="346" t="s">
        <v>381</v>
      </c>
      <c r="E96" s="764"/>
      <c r="F96" s="764"/>
      <c r="G96" s="704"/>
      <c r="H96" s="707"/>
      <c r="I96" s="708"/>
      <c r="J96" s="130"/>
      <c r="K96" s="130"/>
    </row>
    <row r="97" spans="1:11" ht="21" customHeight="1">
      <c r="A97" s="130"/>
      <c r="B97" s="136" t="s">
        <v>69</v>
      </c>
      <c r="C97" s="345" t="s">
        <v>395</v>
      </c>
      <c r="D97" s="346"/>
      <c r="E97" s="764"/>
      <c r="F97" s="764"/>
      <c r="G97" s="704"/>
      <c r="H97" s="707"/>
      <c r="I97" s="708"/>
      <c r="J97" s="130"/>
      <c r="K97" s="130"/>
    </row>
    <row r="98" spans="1:11" ht="24.75" customHeight="1">
      <c r="A98" s="130"/>
      <c r="B98" s="136" t="s">
        <v>821</v>
      </c>
      <c r="C98" s="345" t="s">
        <v>822</v>
      </c>
      <c r="D98" s="346"/>
      <c r="E98" s="765"/>
      <c r="F98" s="765"/>
      <c r="G98" s="755"/>
      <c r="H98" s="755"/>
      <c r="I98" s="756"/>
      <c r="J98" s="130"/>
      <c r="K98" s="140"/>
    </row>
    <row r="99" spans="1:11" ht="24.75" customHeight="1">
      <c r="A99" s="130"/>
      <c r="B99" s="136" t="s">
        <v>44</v>
      </c>
      <c r="C99" s="345" t="s">
        <v>380</v>
      </c>
      <c r="D99" s="346" t="s">
        <v>381</v>
      </c>
      <c r="E99" s="766"/>
      <c r="F99" s="766"/>
      <c r="G99" s="707"/>
      <c r="H99" s="707"/>
      <c r="I99" s="708"/>
      <c r="J99" s="130"/>
      <c r="K99" s="140"/>
    </row>
    <row r="100" spans="1:11" ht="19.5" customHeight="1">
      <c r="A100" s="130"/>
      <c r="B100" s="136" t="s">
        <v>45</v>
      </c>
      <c r="C100" s="345" t="s">
        <v>382</v>
      </c>
      <c r="D100" s="346" t="s">
        <v>381</v>
      </c>
      <c r="E100" s="766"/>
      <c r="F100" s="766"/>
      <c r="G100" s="707"/>
      <c r="H100" s="707"/>
      <c r="I100" s="708"/>
      <c r="J100" s="130"/>
      <c r="K100" s="140"/>
    </row>
    <row r="101" spans="1:11" ht="22.5" customHeight="1">
      <c r="A101" s="130"/>
      <c r="B101" s="136" t="s">
        <v>69</v>
      </c>
      <c r="C101" s="345" t="s">
        <v>383</v>
      </c>
      <c r="D101" s="346" t="s">
        <v>852</v>
      </c>
      <c r="E101" s="766"/>
      <c r="F101" s="766"/>
      <c r="G101" s="707"/>
      <c r="H101" s="707"/>
      <c r="I101" s="708"/>
      <c r="J101" s="130"/>
      <c r="K101" s="140"/>
    </row>
    <row r="102" spans="1:11" ht="20.25" customHeight="1">
      <c r="A102" s="130"/>
      <c r="B102" s="136" t="s">
        <v>116</v>
      </c>
      <c r="C102" s="345" t="s">
        <v>823</v>
      </c>
      <c r="D102" s="346" t="s">
        <v>451</v>
      </c>
      <c r="E102" s="766"/>
      <c r="F102" s="766"/>
      <c r="G102" s="707"/>
      <c r="H102" s="707"/>
      <c r="I102" s="708"/>
      <c r="J102" s="130"/>
      <c r="K102" s="140"/>
    </row>
    <row r="103" spans="1:11" ht="19.5" customHeight="1">
      <c r="A103" s="130"/>
      <c r="B103" s="136" t="s">
        <v>824</v>
      </c>
      <c r="C103" s="345" t="s">
        <v>825</v>
      </c>
      <c r="D103" s="346"/>
      <c r="E103" s="766"/>
      <c r="F103" s="766"/>
      <c r="G103" s="707"/>
      <c r="H103" s="707"/>
      <c r="I103" s="708"/>
      <c r="J103" s="130"/>
      <c r="K103" s="140"/>
    </row>
    <row r="104" spans="1:11" ht="18" customHeight="1">
      <c r="A104" s="130"/>
      <c r="B104" s="136" t="s">
        <v>44</v>
      </c>
      <c r="C104" s="345" t="s">
        <v>382</v>
      </c>
      <c r="D104" s="346" t="s">
        <v>408</v>
      </c>
      <c r="E104" s="766"/>
      <c r="F104" s="766"/>
      <c r="G104" s="707"/>
      <c r="H104" s="707"/>
      <c r="I104" s="708"/>
      <c r="J104" s="130"/>
      <c r="K104" s="140"/>
    </row>
    <row r="105" spans="1:11" ht="19.5" customHeight="1">
      <c r="A105" s="130"/>
      <c r="B105" s="136" t="s">
        <v>45</v>
      </c>
      <c r="C105" s="345" t="s">
        <v>383</v>
      </c>
      <c r="D105" s="346" t="s">
        <v>853</v>
      </c>
      <c r="E105" s="766"/>
      <c r="F105" s="766"/>
      <c r="G105" s="707"/>
      <c r="H105" s="707"/>
      <c r="I105" s="708"/>
      <c r="J105" s="130"/>
      <c r="K105" s="140"/>
    </row>
    <row r="106" spans="1:11" s="749" customFormat="1" ht="30" customHeight="1">
      <c r="A106" s="151"/>
      <c r="B106" s="387" t="s">
        <v>397</v>
      </c>
      <c r="C106" s="350" t="s">
        <v>939</v>
      </c>
      <c r="D106" s="351" t="s">
        <v>360</v>
      </c>
      <c r="E106" s="328">
        <f>E84*E87*10^5/(10^7)</f>
        <v>0</v>
      </c>
      <c r="F106" s="328">
        <f>F84*F87*10^5/(10^7)</f>
        <v>0</v>
      </c>
      <c r="G106" s="328">
        <f t="shared" ref="G106:I106" si="9">G84*G87*10^5/(10^7)</f>
        <v>0</v>
      </c>
      <c r="H106" s="328">
        <f t="shared" si="9"/>
        <v>0</v>
      </c>
      <c r="I106" s="328">
        <f t="shared" si="9"/>
        <v>0</v>
      </c>
      <c r="J106" s="151"/>
      <c r="K106" s="159"/>
    </row>
    <row r="107" spans="1:11" ht="20.25" customHeight="1">
      <c r="A107" s="130"/>
      <c r="B107" s="141" t="s">
        <v>398</v>
      </c>
      <c r="C107" s="133" t="s">
        <v>399</v>
      </c>
      <c r="D107" s="303" t="s">
        <v>360</v>
      </c>
      <c r="E107" s="341">
        <f>(E88*E87*10^5/10^7)</f>
        <v>0</v>
      </c>
      <c r="F107" s="341">
        <f>(F88*F87*10^5/10^7)</f>
        <v>0</v>
      </c>
      <c r="G107" s="341">
        <f t="shared" ref="G107:I107" si="10">(G88*G87*10^5/10^7)</f>
        <v>0</v>
      </c>
      <c r="H107" s="341">
        <f t="shared" si="10"/>
        <v>0</v>
      </c>
      <c r="I107" s="341">
        <f t="shared" si="10"/>
        <v>0</v>
      </c>
      <c r="J107" s="130"/>
      <c r="K107" s="130"/>
    </row>
    <row r="108" spans="1:11" ht="15" customHeight="1">
      <c r="A108" s="130"/>
      <c r="B108" s="347" t="s">
        <v>400</v>
      </c>
      <c r="C108" s="348" t="s">
        <v>401</v>
      </c>
      <c r="D108" s="346"/>
      <c r="E108" s="62"/>
      <c r="F108" s="62"/>
      <c r="G108" s="62"/>
      <c r="H108" s="302"/>
      <c r="I108" s="63"/>
      <c r="J108" s="130"/>
      <c r="K108" s="130"/>
    </row>
    <row r="109" spans="1:11" ht="15" customHeight="1">
      <c r="A109" s="130"/>
      <c r="B109" s="163" t="s">
        <v>402</v>
      </c>
      <c r="C109" s="344" t="s">
        <v>365</v>
      </c>
      <c r="D109" s="346"/>
      <c r="E109" s="62"/>
      <c r="F109" s="62"/>
      <c r="G109" s="62"/>
      <c r="H109" s="302"/>
      <c r="I109" s="63"/>
      <c r="J109" s="130"/>
      <c r="K109" s="130"/>
    </row>
    <row r="110" spans="1:11" ht="21" customHeight="1">
      <c r="A110" s="130"/>
      <c r="B110" s="352" t="s">
        <v>44</v>
      </c>
      <c r="C110" s="345" t="s">
        <v>366</v>
      </c>
      <c r="D110" s="346" t="s">
        <v>351</v>
      </c>
      <c r="E110" s="708"/>
      <c r="F110" s="708"/>
      <c r="G110" s="757"/>
      <c r="H110" s="759"/>
      <c r="I110" s="767"/>
      <c r="J110" s="130"/>
      <c r="K110" s="130"/>
    </row>
    <row r="111" spans="1:11" ht="15" customHeight="1">
      <c r="A111" s="130"/>
      <c r="B111" s="352" t="s">
        <v>45</v>
      </c>
      <c r="C111" s="345" t="s">
        <v>367</v>
      </c>
      <c r="D111" s="346" t="s">
        <v>11</v>
      </c>
      <c r="E111" s="767"/>
      <c r="F111" s="767"/>
      <c r="G111" s="757"/>
      <c r="H111" s="759"/>
      <c r="I111" s="767"/>
      <c r="J111" s="130"/>
      <c r="K111" s="130"/>
    </row>
    <row r="112" spans="1:11" ht="30" customHeight="1">
      <c r="A112" s="130"/>
      <c r="B112" s="352" t="s">
        <v>69</v>
      </c>
      <c r="C112" s="345" t="s">
        <v>368</v>
      </c>
      <c r="D112" s="346" t="s">
        <v>351</v>
      </c>
      <c r="E112" s="708"/>
      <c r="F112" s="708"/>
      <c r="G112" s="757"/>
      <c r="H112" s="759"/>
      <c r="I112" s="767"/>
      <c r="J112" s="130"/>
      <c r="K112" s="130"/>
    </row>
    <row r="113" spans="1:11" ht="15" customHeight="1">
      <c r="A113" s="130"/>
      <c r="B113" s="352" t="s">
        <v>116</v>
      </c>
      <c r="C113" s="345" t="s">
        <v>369</v>
      </c>
      <c r="D113" s="346" t="s">
        <v>370</v>
      </c>
      <c r="E113" s="708"/>
      <c r="F113" s="708"/>
      <c r="G113" s="757"/>
      <c r="H113" s="759"/>
      <c r="I113" s="708"/>
      <c r="J113" s="130"/>
      <c r="K113" s="130"/>
    </row>
    <row r="114" spans="1:11" ht="15" customHeight="1">
      <c r="A114" s="130"/>
      <c r="B114" s="352" t="s">
        <v>117</v>
      </c>
      <c r="C114" s="345" t="s">
        <v>371</v>
      </c>
      <c r="D114" s="346" t="s">
        <v>372</v>
      </c>
      <c r="E114" s="708"/>
      <c r="F114" s="708"/>
      <c r="G114" s="757"/>
      <c r="H114" s="759"/>
      <c r="I114" s="708"/>
      <c r="J114" s="130"/>
      <c r="K114" s="130"/>
    </row>
    <row r="115" spans="1:11" ht="15" customHeight="1">
      <c r="A115" s="130"/>
      <c r="B115" s="352" t="s">
        <v>373</v>
      </c>
      <c r="C115" s="345" t="s">
        <v>374</v>
      </c>
      <c r="D115" s="346" t="s">
        <v>375</v>
      </c>
      <c r="E115" s="708"/>
      <c r="F115" s="708"/>
      <c r="G115" s="757"/>
      <c r="H115" s="759"/>
      <c r="I115" s="767"/>
      <c r="J115" s="130"/>
      <c r="K115" s="130"/>
    </row>
    <row r="116" spans="1:11" ht="16.5" customHeight="1">
      <c r="A116" s="130"/>
      <c r="B116" s="352" t="s">
        <v>376</v>
      </c>
      <c r="C116" s="345" t="s">
        <v>377</v>
      </c>
      <c r="D116" s="346" t="s">
        <v>351</v>
      </c>
      <c r="E116" s="708"/>
      <c r="F116" s="708"/>
      <c r="G116" s="757"/>
      <c r="H116" s="759"/>
      <c r="I116" s="708"/>
      <c r="J116" s="130"/>
      <c r="K116" s="130"/>
    </row>
    <row r="117" spans="1:11" ht="15" customHeight="1">
      <c r="A117" s="130"/>
      <c r="B117" s="163" t="s">
        <v>403</v>
      </c>
      <c r="C117" s="165" t="s">
        <v>404</v>
      </c>
      <c r="D117" s="353"/>
      <c r="E117" s="768"/>
      <c r="F117" s="768"/>
      <c r="G117" s="769"/>
      <c r="H117" s="770"/>
      <c r="I117" s="702"/>
      <c r="J117" s="298"/>
      <c r="K117" s="130"/>
    </row>
    <row r="118" spans="1:11" ht="15" customHeight="1">
      <c r="A118" s="130"/>
      <c r="B118" s="163" t="s">
        <v>405</v>
      </c>
      <c r="C118" s="349" t="s">
        <v>406</v>
      </c>
      <c r="D118" s="346"/>
      <c r="E118" s="700"/>
      <c r="F118" s="700"/>
      <c r="G118" s="769"/>
      <c r="H118" s="770"/>
      <c r="I118" s="702"/>
      <c r="J118" s="298"/>
      <c r="K118" s="130"/>
    </row>
    <row r="119" spans="1:11" ht="20.25" customHeight="1">
      <c r="A119" s="130"/>
      <c r="B119" s="352" t="s">
        <v>44</v>
      </c>
      <c r="C119" s="345" t="s">
        <v>409</v>
      </c>
      <c r="D119" s="346" t="s">
        <v>408</v>
      </c>
      <c r="E119" s="704"/>
      <c r="F119" s="704"/>
      <c r="G119" s="757"/>
      <c r="H119" s="759"/>
      <c r="I119" s="767"/>
      <c r="J119" s="298"/>
      <c r="K119" s="130"/>
    </row>
    <row r="120" spans="1:11" ht="15" customHeight="1">
      <c r="A120" s="130"/>
      <c r="B120" s="352" t="s">
        <v>45</v>
      </c>
      <c r="C120" s="345" t="s">
        <v>383</v>
      </c>
      <c r="D120" s="346" t="s">
        <v>410</v>
      </c>
      <c r="E120" s="704"/>
      <c r="F120" s="704"/>
      <c r="G120" s="757"/>
      <c r="H120" s="759"/>
      <c r="I120" s="708"/>
      <c r="J120" s="130"/>
      <c r="K120" s="130"/>
    </row>
    <row r="121" spans="1:11" ht="15" customHeight="1">
      <c r="A121" s="130"/>
      <c r="B121" s="352" t="s">
        <v>69</v>
      </c>
      <c r="C121" s="345" t="s">
        <v>369</v>
      </c>
      <c r="D121" s="346" t="s">
        <v>370</v>
      </c>
      <c r="E121" s="704"/>
      <c r="F121" s="704"/>
      <c r="G121" s="757"/>
      <c r="H121" s="757"/>
      <c r="I121" s="708"/>
      <c r="J121" s="130"/>
      <c r="K121" s="130"/>
    </row>
    <row r="122" spans="1:11" ht="15" customHeight="1">
      <c r="A122" s="130"/>
      <c r="B122" s="163" t="s">
        <v>812</v>
      </c>
      <c r="C122" s="349" t="s">
        <v>413</v>
      </c>
      <c r="D122" s="346"/>
      <c r="E122" s="700"/>
      <c r="F122" s="700"/>
      <c r="G122" s="700"/>
      <c r="H122" s="701"/>
      <c r="I122" s="702"/>
      <c r="J122" s="130"/>
      <c r="K122" s="130"/>
    </row>
    <row r="123" spans="1:11" ht="15" customHeight="1">
      <c r="A123" s="130"/>
      <c r="B123" s="136" t="s">
        <v>44</v>
      </c>
      <c r="C123" s="135" t="s">
        <v>414</v>
      </c>
      <c r="D123" s="62"/>
      <c r="E123" s="754"/>
      <c r="F123" s="754"/>
      <c r="G123" s="754"/>
      <c r="H123" s="755"/>
      <c r="I123" s="756"/>
      <c r="J123" s="130"/>
      <c r="K123" s="130"/>
    </row>
    <row r="124" spans="1:11" ht="15" customHeight="1">
      <c r="A124" s="130"/>
      <c r="B124" s="136" t="s">
        <v>45</v>
      </c>
      <c r="C124" s="135" t="s">
        <v>407</v>
      </c>
      <c r="D124" s="62" t="s">
        <v>408</v>
      </c>
      <c r="E124" s="704"/>
      <c r="F124" s="704"/>
      <c r="G124" s="704"/>
      <c r="H124" s="707"/>
      <c r="I124" s="708"/>
      <c r="J124" s="130"/>
      <c r="K124" s="130"/>
    </row>
    <row r="125" spans="1:11" ht="15" customHeight="1">
      <c r="A125" s="130"/>
      <c r="B125" s="136" t="s">
        <v>69</v>
      </c>
      <c r="C125" s="345" t="s">
        <v>409</v>
      </c>
      <c r="D125" s="346" t="s">
        <v>856</v>
      </c>
      <c r="E125" s="704"/>
      <c r="F125" s="704"/>
      <c r="G125" s="704"/>
      <c r="H125" s="707"/>
      <c r="I125" s="708"/>
      <c r="J125" s="130"/>
      <c r="K125" s="130"/>
    </row>
    <row r="126" spans="1:11" ht="15" customHeight="1">
      <c r="A126" s="130"/>
      <c r="B126" s="136" t="s">
        <v>116</v>
      </c>
      <c r="C126" s="135" t="s">
        <v>383</v>
      </c>
      <c r="D126" s="62" t="s">
        <v>855</v>
      </c>
      <c r="E126" s="704"/>
      <c r="F126" s="704"/>
      <c r="G126" s="704"/>
      <c r="H126" s="707"/>
      <c r="I126" s="708"/>
      <c r="J126" s="130"/>
      <c r="K126" s="130"/>
    </row>
    <row r="127" spans="1:11" ht="15" customHeight="1">
      <c r="A127" s="130"/>
      <c r="B127" s="136" t="s">
        <v>117</v>
      </c>
      <c r="C127" s="135" t="s">
        <v>369</v>
      </c>
      <c r="D127" s="62" t="s">
        <v>370</v>
      </c>
      <c r="E127" s="704"/>
      <c r="F127" s="704"/>
      <c r="G127" s="704"/>
      <c r="H127" s="707"/>
      <c r="I127" s="708"/>
      <c r="J127" s="130"/>
      <c r="K127" s="130"/>
    </row>
    <row r="128" spans="1:11" ht="16.5" customHeight="1">
      <c r="A128" s="130"/>
      <c r="B128" s="160" t="s">
        <v>412</v>
      </c>
      <c r="C128" s="133" t="s">
        <v>416</v>
      </c>
      <c r="D128" s="62" t="s">
        <v>818</v>
      </c>
      <c r="E128" s="354">
        <f>(E112*E115*10^5/10^7)</f>
        <v>0</v>
      </c>
      <c r="F128" s="354">
        <f>(F112*F115*10^5/10^7)</f>
        <v>0</v>
      </c>
      <c r="G128" s="354">
        <f t="shared" ref="G128:I128" si="11">(G112*G115*10^5/10^7)</f>
        <v>0</v>
      </c>
      <c r="H128" s="354">
        <f t="shared" si="11"/>
        <v>0</v>
      </c>
      <c r="I128" s="806">
        <f t="shared" si="11"/>
        <v>0</v>
      </c>
      <c r="J128" s="1071"/>
      <c r="K128" s="140"/>
    </row>
    <row r="129" spans="1:11" ht="29.25" customHeight="1">
      <c r="A129" s="130"/>
      <c r="B129" s="136" t="s">
        <v>415</v>
      </c>
      <c r="C129" s="135" t="s">
        <v>820</v>
      </c>
      <c r="D129" s="62" t="s">
        <v>360</v>
      </c>
      <c r="E129" s="355">
        <f>(E116*E115*10^5/10^7)</f>
        <v>0</v>
      </c>
      <c r="F129" s="355">
        <f>(F116*F115*10^5/10^7)</f>
        <v>0</v>
      </c>
      <c r="G129" s="355">
        <f t="shared" ref="G129:I129" si="12">(G116*G115*10^5/10^7)</f>
        <v>0</v>
      </c>
      <c r="H129" s="355">
        <f t="shared" si="12"/>
        <v>0</v>
      </c>
      <c r="I129" s="807">
        <f t="shared" si="12"/>
        <v>0</v>
      </c>
      <c r="J129" s="1072"/>
      <c r="K129" s="130"/>
    </row>
    <row r="130" spans="1:11" ht="32.25" customHeight="1">
      <c r="A130" s="130"/>
      <c r="B130" s="433" t="s">
        <v>417</v>
      </c>
      <c r="C130" s="434" t="s">
        <v>819</v>
      </c>
      <c r="D130" s="169" t="s">
        <v>351</v>
      </c>
      <c r="E130" s="435">
        <f>(E68+E84+E112)</f>
        <v>0</v>
      </c>
      <c r="F130" s="435">
        <f>(F68+F84+F112)</f>
        <v>0</v>
      </c>
      <c r="G130" s="435">
        <f t="shared" ref="G130:I130" si="13">(G68+G84+G112)</f>
        <v>0</v>
      </c>
      <c r="H130" s="435">
        <f t="shared" si="13"/>
        <v>0</v>
      </c>
      <c r="I130" s="808">
        <f t="shared" si="13"/>
        <v>0</v>
      </c>
      <c r="J130" s="1072"/>
      <c r="K130" s="130"/>
    </row>
    <row r="131" spans="1:11" ht="16.5" customHeight="1">
      <c r="A131" s="130"/>
      <c r="B131" s="431" t="s">
        <v>418</v>
      </c>
      <c r="C131" s="432" t="s">
        <v>419</v>
      </c>
      <c r="D131" s="436" t="s">
        <v>351</v>
      </c>
      <c r="E131" s="1093"/>
      <c r="F131" s="1093"/>
      <c r="G131" s="1094"/>
      <c r="H131" s="1095"/>
      <c r="I131" s="1095"/>
      <c r="J131" s="1073"/>
      <c r="K131" s="130"/>
    </row>
    <row r="132" spans="1:11" s="771" customFormat="1" ht="16.5" customHeight="1">
      <c r="A132" s="414"/>
      <c r="B132" s="378" t="s">
        <v>896</v>
      </c>
      <c r="C132" s="379" t="s">
        <v>897</v>
      </c>
      <c r="D132" s="412"/>
      <c r="E132" s="412"/>
      <c r="F132" s="412"/>
      <c r="G132" s="412"/>
      <c r="H132" s="413"/>
      <c r="I132" s="1074"/>
      <c r="J132" s="1075"/>
      <c r="K132" s="414"/>
    </row>
    <row r="133" spans="1:11" s="683" customFormat="1" ht="58.5" customHeight="1">
      <c r="A133" s="181"/>
      <c r="B133" s="359" t="s">
        <v>898</v>
      </c>
      <c r="C133" s="360" t="s">
        <v>899</v>
      </c>
      <c r="D133" s="361"/>
      <c r="E133" s="361"/>
      <c r="F133" s="361"/>
      <c r="G133" s="361"/>
      <c r="H133" s="363"/>
      <c r="I133" s="388"/>
      <c r="J133" s="181"/>
      <c r="K133" s="181"/>
    </row>
    <row r="134" spans="1:11" s="683" customFormat="1" ht="16.5" customHeight="1">
      <c r="A134" s="181"/>
      <c r="B134" s="359" t="s">
        <v>44</v>
      </c>
      <c r="C134" s="364" t="s">
        <v>900</v>
      </c>
      <c r="D134" s="365" t="s">
        <v>901</v>
      </c>
      <c r="E134" s="370"/>
      <c r="F134" s="370"/>
      <c r="G134" s="370"/>
      <c r="H134" s="774"/>
      <c r="I134" s="775"/>
      <c r="J134" s="181"/>
      <c r="K134" s="181"/>
    </row>
    <row r="135" spans="1:11" s="683" customFormat="1" ht="16.5" customHeight="1">
      <c r="A135" s="181"/>
      <c r="B135" s="359" t="s">
        <v>45</v>
      </c>
      <c r="C135" s="364" t="s">
        <v>1021</v>
      </c>
      <c r="D135" s="365" t="s">
        <v>903</v>
      </c>
      <c r="E135" s="370"/>
      <c r="F135" s="370"/>
      <c r="G135" s="370"/>
      <c r="H135" s="774"/>
      <c r="I135" s="775"/>
      <c r="J135" s="181"/>
      <c r="K135" s="181"/>
    </row>
    <row r="136" spans="1:11" s="683" customFormat="1" ht="16.5" customHeight="1">
      <c r="A136" s="181"/>
      <c r="B136" s="359" t="s">
        <v>69</v>
      </c>
      <c r="C136" s="1126" t="s">
        <v>1019</v>
      </c>
      <c r="D136" s="363" t="s">
        <v>278</v>
      </c>
      <c r="E136" s="370"/>
      <c r="F136" s="370"/>
      <c r="G136" s="370"/>
      <c r="H136" s="774"/>
      <c r="I136" s="775"/>
      <c r="J136" s="181"/>
      <c r="K136" s="181"/>
    </row>
    <row r="137" spans="1:11" s="683" customFormat="1" ht="33" customHeight="1">
      <c r="A137" s="181"/>
      <c r="B137" s="356" t="s">
        <v>904</v>
      </c>
      <c r="C137" s="357" t="s">
        <v>936</v>
      </c>
      <c r="D137" s="361"/>
      <c r="E137" s="362"/>
      <c r="F137" s="362"/>
      <c r="G137" s="362"/>
      <c r="H137" s="772"/>
      <c r="I137" s="773"/>
      <c r="J137" s="181"/>
      <c r="K137" s="181"/>
    </row>
    <row r="138" spans="1:11" s="683" customFormat="1" ht="16.5" customHeight="1">
      <c r="A138" s="181"/>
      <c r="B138" s="324" t="s">
        <v>905</v>
      </c>
      <c r="C138" s="325" t="s">
        <v>937</v>
      </c>
      <c r="D138" s="361"/>
      <c r="E138" s="362"/>
      <c r="F138" s="362"/>
      <c r="G138" s="362"/>
      <c r="H138" s="772"/>
      <c r="I138" s="773"/>
      <c r="J138" s="181"/>
      <c r="K138" s="181"/>
    </row>
    <row r="139" spans="1:11" s="683" customFormat="1" ht="16.5" customHeight="1">
      <c r="A139" s="181"/>
      <c r="B139" s="359" t="s">
        <v>44</v>
      </c>
      <c r="C139" s="364" t="s">
        <v>906</v>
      </c>
      <c r="D139" s="363" t="s">
        <v>907</v>
      </c>
      <c r="E139" s="367"/>
      <c r="F139" s="367"/>
      <c r="G139" s="367"/>
      <c r="H139" s="774"/>
      <c r="I139" s="775"/>
      <c r="J139" s="181"/>
      <c r="K139" s="181"/>
    </row>
    <row r="140" spans="1:11" s="683" customFormat="1" ht="16.5" customHeight="1">
      <c r="A140" s="181"/>
      <c r="B140" s="359" t="s">
        <v>45</v>
      </c>
      <c r="C140" s="364" t="s">
        <v>900</v>
      </c>
      <c r="D140" s="365" t="s">
        <v>901</v>
      </c>
      <c r="E140" s="367"/>
      <c r="F140" s="367"/>
      <c r="G140" s="367"/>
      <c r="H140" s="774"/>
      <c r="I140" s="775"/>
      <c r="J140" s="181"/>
      <c r="K140" s="181"/>
    </row>
    <row r="141" spans="1:11" s="683" customFormat="1" ht="16.5" customHeight="1">
      <c r="A141" s="181"/>
      <c r="B141" s="359" t="s">
        <v>69</v>
      </c>
      <c r="C141" s="364" t="s">
        <v>1021</v>
      </c>
      <c r="D141" s="365" t="s">
        <v>903</v>
      </c>
      <c r="E141" s="367"/>
      <c r="F141" s="367"/>
      <c r="G141" s="367"/>
      <c r="H141" s="774"/>
      <c r="I141" s="775"/>
      <c r="J141" s="181"/>
      <c r="K141" s="181"/>
    </row>
    <row r="142" spans="1:11" s="683" customFormat="1" ht="16.5" customHeight="1">
      <c r="A142" s="181"/>
      <c r="B142" s="359" t="s">
        <v>116</v>
      </c>
      <c r="C142" s="366" t="s">
        <v>1022</v>
      </c>
      <c r="D142" s="363" t="s">
        <v>278</v>
      </c>
      <c r="E142" s="367"/>
      <c r="F142" s="367"/>
      <c r="G142" s="367"/>
      <c r="H142" s="774"/>
      <c r="I142" s="775"/>
      <c r="J142" s="181"/>
      <c r="K142" s="181"/>
    </row>
    <row r="143" spans="1:11" s="683" customFormat="1" ht="16.5" customHeight="1">
      <c r="A143" s="181"/>
      <c r="B143" s="359" t="s">
        <v>117</v>
      </c>
      <c r="C143" s="366" t="s">
        <v>1023</v>
      </c>
      <c r="D143" s="363" t="s">
        <v>278</v>
      </c>
      <c r="E143" s="367"/>
      <c r="F143" s="367"/>
      <c r="G143" s="367"/>
      <c r="H143" s="774"/>
      <c r="I143" s="775"/>
      <c r="J143" s="181"/>
      <c r="K143" s="181"/>
    </row>
    <row r="144" spans="1:11" s="683" customFormat="1" ht="16.5" customHeight="1">
      <c r="A144" s="181"/>
      <c r="B144" s="359" t="s">
        <v>373</v>
      </c>
      <c r="C144" s="366" t="s">
        <v>908</v>
      </c>
      <c r="D144" s="363" t="s">
        <v>10</v>
      </c>
      <c r="E144" s="367"/>
      <c r="F144" s="367"/>
      <c r="G144" s="367"/>
      <c r="H144" s="774"/>
      <c r="I144" s="775"/>
      <c r="J144" s="181"/>
      <c r="K144" s="181"/>
    </row>
    <row r="145" spans="1:11" s="683" customFormat="1" ht="36.75" customHeight="1">
      <c r="A145" s="181"/>
      <c r="B145" s="359" t="s">
        <v>376</v>
      </c>
      <c r="C145" s="366" t="s">
        <v>909</v>
      </c>
      <c r="D145" s="363" t="s">
        <v>10</v>
      </c>
      <c r="E145" s="800" t="e">
        <f>E144*E142/E136</f>
        <v>#DIV/0!</v>
      </c>
      <c r="F145" s="800" t="e">
        <f t="shared" ref="F145:I145" si="14">F144*F142/F136</f>
        <v>#DIV/0!</v>
      </c>
      <c r="G145" s="800" t="e">
        <f t="shared" si="14"/>
        <v>#DIV/0!</v>
      </c>
      <c r="H145" s="800" t="e">
        <f t="shared" si="14"/>
        <v>#DIV/0!</v>
      </c>
      <c r="I145" s="801" t="e">
        <f t="shared" si="14"/>
        <v>#DIV/0!</v>
      </c>
      <c r="J145" s="181"/>
      <c r="K145" s="181"/>
    </row>
    <row r="146" spans="1:11" s="683" customFormat="1" ht="16.5" customHeight="1">
      <c r="A146" s="181"/>
      <c r="B146" s="324" t="s">
        <v>910</v>
      </c>
      <c r="C146" s="325" t="s">
        <v>911</v>
      </c>
      <c r="D146" s="361"/>
      <c r="E146" s="361"/>
      <c r="F146" s="361"/>
      <c r="G146" s="361"/>
      <c r="H146" s="363"/>
      <c r="I146" s="388"/>
      <c r="J146" s="181"/>
      <c r="K146" s="181"/>
    </row>
    <row r="147" spans="1:11" s="683" customFormat="1" ht="16.5" customHeight="1">
      <c r="A147" s="181"/>
      <c r="B147" s="359" t="s">
        <v>44</v>
      </c>
      <c r="C147" s="364" t="s">
        <v>906</v>
      </c>
      <c r="D147" s="363" t="s">
        <v>907</v>
      </c>
      <c r="E147" s="367"/>
      <c r="F147" s="367"/>
      <c r="G147" s="367"/>
      <c r="H147" s="772"/>
      <c r="I147" s="775"/>
      <c r="J147" s="181"/>
      <c r="K147" s="181"/>
    </row>
    <row r="148" spans="1:11" s="683" customFormat="1" ht="16.5" customHeight="1">
      <c r="A148" s="181"/>
      <c r="B148" s="359" t="s">
        <v>45</v>
      </c>
      <c r="C148" s="364" t="s">
        <v>900</v>
      </c>
      <c r="D148" s="365" t="s">
        <v>901</v>
      </c>
      <c r="E148" s="367"/>
      <c r="F148" s="367"/>
      <c r="G148" s="367"/>
      <c r="H148" s="772"/>
      <c r="I148" s="389"/>
      <c r="J148" s="181"/>
      <c r="K148" s="181"/>
    </row>
    <row r="149" spans="1:11" s="683" customFormat="1" ht="16.5" customHeight="1">
      <c r="A149" s="181"/>
      <c r="B149" s="359" t="s">
        <v>69</v>
      </c>
      <c r="C149" s="364" t="s">
        <v>1021</v>
      </c>
      <c r="D149" s="365" t="s">
        <v>903</v>
      </c>
      <c r="E149" s="367"/>
      <c r="F149" s="367"/>
      <c r="G149" s="367"/>
      <c r="H149" s="772"/>
      <c r="I149" s="389"/>
      <c r="J149" s="181"/>
      <c r="K149" s="181"/>
    </row>
    <row r="150" spans="1:11" s="683" customFormat="1" ht="16.5" customHeight="1">
      <c r="A150" s="181"/>
      <c r="B150" s="359" t="s">
        <v>116</v>
      </c>
      <c r="C150" s="366" t="s">
        <v>1022</v>
      </c>
      <c r="D150" s="363" t="s">
        <v>278</v>
      </c>
      <c r="E150" s="367"/>
      <c r="F150" s="367"/>
      <c r="G150" s="367"/>
      <c r="H150" s="772"/>
      <c r="I150" s="389"/>
      <c r="J150" s="181"/>
      <c r="K150" s="181"/>
    </row>
    <row r="151" spans="1:11" s="683" customFormat="1" ht="24" customHeight="1">
      <c r="A151" s="181"/>
      <c r="B151" s="359" t="s">
        <v>117</v>
      </c>
      <c r="C151" s="366" t="s">
        <v>908</v>
      </c>
      <c r="D151" s="363" t="s">
        <v>10</v>
      </c>
      <c r="E151" s="367"/>
      <c r="F151" s="367"/>
      <c r="G151" s="367"/>
      <c r="H151" s="772"/>
      <c r="I151" s="775"/>
      <c r="J151" s="181"/>
      <c r="K151" s="181"/>
    </row>
    <row r="152" spans="1:11" s="683" customFormat="1" ht="36.75" customHeight="1">
      <c r="A152" s="181"/>
      <c r="B152" s="359" t="s">
        <v>373</v>
      </c>
      <c r="C152" s="366" t="s">
        <v>909</v>
      </c>
      <c r="D152" s="363" t="s">
        <v>10</v>
      </c>
      <c r="E152" s="800" t="e">
        <f>E151*E150/E136</f>
        <v>#DIV/0!</v>
      </c>
      <c r="F152" s="800" t="e">
        <f t="shared" ref="F152:I152" si="15">F151*F150/F136</f>
        <v>#DIV/0!</v>
      </c>
      <c r="G152" s="800" t="e">
        <f t="shared" si="15"/>
        <v>#DIV/0!</v>
      </c>
      <c r="H152" s="800" t="e">
        <f t="shared" si="15"/>
        <v>#DIV/0!</v>
      </c>
      <c r="I152" s="801" t="e">
        <f t="shared" si="15"/>
        <v>#DIV/0!</v>
      </c>
      <c r="J152" s="181"/>
      <c r="K152" s="181"/>
    </row>
    <row r="153" spans="1:11" s="683" customFormat="1" ht="16.5" customHeight="1">
      <c r="A153" s="181"/>
      <c r="B153" s="324" t="s">
        <v>912</v>
      </c>
      <c r="C153" s="325" t="s">
        <v>913</v>
      </c>
      <c r="D153" s="363"/>
      <c r="E153" s="361"/>
      <c r="F153" s="361"/>
      <c r="G153" s="361"/>
      <c r="H153" s="363"/>
      <c r="I153" s="388"/>
      <c r="J153" s="181"/>
      <c r="K153" s="181"/>
    </row>
    <row r="154" spans="1:11" s="683" customFormat="1" ht="16.5" customHeight="1">
      <c r="A154" s="181"/>
      <c r="B154" s="359" t="s">
        <v>44</v>
      </c>
      <c r="C154" s="364" t="s">
        <v>900</v>
      </c>
      <c r="D154" s="365" t="s">
        <v>901</v>
      </c>
      <c r="E154" s="367"/>
      <c r="F154" s="367"/>
      <c r="G154" s="367"/>
      <c r="H154" s="774"/>
      <c r="I154" s="389"/>
      <c r="J154" s="181"/>
      <c r="K154" s="181"/>
    </row>
    <row r="155" spans="1:11" s="683" customFormat="1" ht="16.5" customHeight="1">
      <c r="A155" s="181"/>
      <c r="B155" s="359" t="s">
        <v>45</v>
      </c>
      <c r="C155" s="364" t="s">
        <v>902</v>
      </c>
      <c r="D155" s="365" t="s">
        <v>903</v>
      </c>
      <c r="E155" s="367"/>
      <c r="F155" s="367"/>
      <c r="G155" s="367"/>
      <c r="H155" s="774"/>
      <c r="I155" s="389"/>
      <c r="J155" s="181"/>
      <c r="K155" s="181"/>
    </row>
    <row r="156" spans="1:11" s="683" customFormat="1" ht="16.5" customHeight="1">
      <c r="A156" s="181"/>
      <c r="B156" s="359" t="s">
        <v>69</v>
      </c>
      <c r="C156" s="366" t="s">
        <v>1022</v>
      </c>
      <c r="D156" s="363" t="s">
        <v>278</v>
      </c>
      <c r="E156" s="367"/>
      <c r="F156" s="367"/>
      <c r="G156" s="367"/>
      <c r="H156" s="774"/>
      <c r="I156" s="389"/>
      <c r="J156" s="181"/>
      <c r="K156" s="181"/>
    </row>
    <row r="157" spans="1:11" s="683" customFormat="1" ht="16.5" customHeight="1">
      <c r="A157" s="181"/>
      <c r="B157" s="359" t="s">
        <v>116</v>
      </c>
      <c r="C157" s="366" t="s">
        <v>914</v>
      </c>
      <c r="D157" s="363" t="s">
        <v>10</v>
      </c>
      <c r="E157" s="367"/>
      <c r="F157" s="367"/>
      <c r="G157" s="367"/>
      <c r="H157" s="774"/>
      <c r="I157" s="775"/>
      <c r="J157" s="181"/>
      <c r="K157" s="181"/>
    </row>
    <row r="158" spans="1:11" s="683" customFormat="1" ht="36" customHeight="1">
      <c r="A158" s="181"/>
      <c r="B158" s="359" t="s">
        <v>117</v>
      </c>
      <c r="C158" s="366" t="s">
        <v>909</v>
      </c>
      <c r="D158" s="363" t="s">
        <v>10</v>
      </c>
      <c r="E158" s="800" t="e">
        <f>E157*E156/E136</f>
        <v>#DIV/0!</v>
      </c>
      <c r="F158" s="800" t="e">
        <f t="shared" ref="F158:I158" si="16">F157*F156/F136</f>
        <v>#DIV/0!</v>
      </c>
      <c r="G158" s="800" t="e">
        <f t="shared" si="16"/>
        <v>#DIV/0!</v>
      </c>
      <c r="H158" s="800" t="e">
        <f t="shared" si="16"/>
        <v>#DIV/0!</v>
      </c>
      <c r="I158" s="801" t="e">
        <f t="shared" si="16"/>
        <v>#DIV/0!</v>
      </c>
      <c r="J158" s="181"/>
      <c r="K158" s="181"/>
    </row>
    <row r="159" spans="1:11" s="683" customFormat="1" ht="29.25" customHeight="1">
      <c r="A159" s="181"/>
      <c r="B159" s="324" t="s">
        <v>373</v>
      </c>
      <c r="C159" s="325" t="s">
        <v>915</v>
      </c>
      <c r="D159" s="368" t="s">
        <v>10</v>
      </c>
      <c r="E159" s="802" t="e">
        <f>E145+E152+E158</f>
        <v>#DIV/0!</v>
      </c>
      <c r="F159" s="802" t="e">
        <f t="shared" ref="F159:H159" si="17">F145+F152+F158</f>
        <v>#DIV/0!</v>
      </c>
      <c r="G159" s="802" t="e">
        <f t="shared" si="17"/>
        <v>#DIV/0!</v>
      </c>
      <c r="H159" s="802" t="e">
        <f t="shared" si="17"/>
        <v>#DIV/0!</v>
      </c>
      <c r="I159" s="803" t="e">
        <f>I145+I152+I158</f>
        <v>#DIV/0!</v>
      </c>
      <c r="J159" s="181"/>
      <c r="K159" s="181"/>
    </row>
    <row r="160" spans="1:11" s="683" customFormat="1" ht="34.5" customHeight="1">
      <c r="A160" s="181"/>
      <c r="B160" s="356" t="s">
        <v>916</v>
      </c>
      <c r="C160" s="357" t="s">
        <v>917</v>
      </c>
      <c r="D160" s="358"/>
      <c r="E160" s="1076"/>
      <c r="F160" s="1076"/>
      <c r="G160" s="1076"/>
      <c r="H160" s="358"/>
      <c r="I160" s="377"/>
      <c r="J160" s="181"/>
      <c r="K160" s="181"/>
    </row>
    <row r="161" spans="1:11" s="683" customFormat="1" ht="16.5" customHeight="1">
      <c r="A161" s="181"/>
      <c r="B161" s="369" t="s">
        <v>918</v>
      </c>
      <c r="C161" s="366" t="s">
        <v>919</v>
      </c>
      <c r="D161" s="363" t="s">
        <v>10</v>
      </c>
      <c r="E161" s="776"/>
      <c r="F161" s="776"/>
      <c r="G161" s="776"/>
      <c r="H161" s="776"/>
      <c r="I161" s="777"/>
      <c r="J161" s="181"/>
      <c r="K161" s="181"/>
    </row>
    <row r="162" spans="1:11" s="683" customFormat="1" ht="16.5" customHeight="1">
      <c r="A162" s="181"/>
      <c r="B162" s="369" t="s">
        <v>920</v>
      </c>
      <c r="C162" s="366" t="s">
        <v>921</v>
      </c>
      <c r="D162" s="363" t="s">
        <v>10</v>
      </c>
      <c r="E162" s="776"/>
      <c r="F162" s="776"/>
      <c r="G162" s="776"/>
      <c r="H162" s="776"/>
      <c r="I162" s="777"/>
      <c r="J162" s="181"/>
      <c r="K162" s="181"/>
    </row>
    <row r="163" spans="1:11" s="683" customFormat="1" ht="16.5" customHeight="1">
      <c r="A163" s="181"/>
      <c r="B163" s="369" t="s">
        <v>922</v>
      </c>
      <c r="C163" s="366" t="s">
        <v>926</v>
      </c>
      <c r="D163" s="363" t="s">
        <v>10</v>
      </c>
      <c r="E163" s="776"/>
      <c r="F163" s="776"/>
      <c r="G163" s="776"/>
      <c r="H163" s="776"/>
      <c r="I163" s="777"/>
      <c r="J163" s="181"/>
      <c r="K163" s="181"/>
    </row>
    <row r="164" spans="1:11" s="683" customFormat="1" ht="16.5" customHeight="1">
      <c r="A164" s="181"/>
      <c r="B164" s="804" t="s">
        <v>923</v>
      </c>
      <c r="C164" s="1125" t="s">
        <v>927</v>
      </c>
      <c r="D164" s="363" t="s">
        <v>10</v>
      </c>
      <c r="E164" s="776"/>
      <c r="F164" s="776"/>
      <c r="G164" s="776"/>
      <c r="H164" s="776"/>
      <c r="I164" s="777"/>
      <c r="J164" s="181"/>
      <c r="K164" s="181"/>
    </row>
    <row r="165" spans="1:11" s="683" customFormat="1" ht="16.5" customHeight="1">
      <c r="A165" s="181"/>
      <c r="B165" s="359" t="s">
        <v>924</v>
      </c>
      <c r="C165" s="366" t="s">
        <v>925</v>
      </c>
      <c r="D165" s="363" t="s">
        <v>10</v>
      </c>
      <c r="E165" s="1077">
        <f>SUM(E161:E164)</f>
        <v>0</v>
      </c>
      <c r="F165" s="1077">
        <f t="shared" ref="F165:I165" si="18">SUM(F161:F164)</f>
        <v>0</v>
      </c>
      <c r="G165" s="1077">
        <f t="shared" si="18"/>
        <v>0</v>
      </c>
      <c r="H165" s="1077">
        <f t="shared" si="18"/>
        <v>0</v>
      </c>
      <c r="I165" s="1078">
        <f t="shared" si="18"/>
        <v>0</v>
      </c>
      <c r="J165" s="181"/>
      <c r="K165" s="181"/>
    </row>
    <row r="166" spans="1:11" s="690" customFormat="1" ht="18" customHeight="1">
      <c r="A166" s="167"/>
      <c r="B166" s="371" t="s">
        <v>421</v>
      </c>
      <c r="C166" s="1371" t="s">
        <v>422</v>
      </c>
      <c r="D166" s="1372"/>
      <c r="E166" s="372"/>
      <c r="F166" s="372"/>
      <c r="G166" s="373"/>
      <c r="H166" s="374"/>
      <c r="I166" s="375"/>
      <c r="J166" s="167"/>
      <c r="K166" s="167"/>
    </row>
    <row r="167" spans="1:11" ht="15" customHeight="1">
      <c r="A167" s="130"/>
      <c r="B167" s="321" t="s">
        <v>68</v>
      </c>
      <c r="C167" s="322" t="s">
        <v>423</v>
      </c>
      <c r="D167" s="62"/>
      <c r="E167" s="62"/>
      <c r="F167" s="62"/>
      <c r="G167" s="62"/>
      <c r="H167" s="302"/>
      <c r="I167" s="63"/>
      <c r="J167" s="130"/>
      <c r="K167" s="130"/>
    </row>
    <row r="168" spans="1:11" ht="15" customHeight="1">
      <c r="A168" s="130"/>
      <c r="B168" s="136" t="s">
        <v>27</v>
      </c>
      <c r="C168" s="135" t="s">
        <v>424</v>
      </c>
      <c r="D168" s="62"/>
      <c r="E168" s="62"/>
      <c r="F168" s="62"/>
      <c r="G168" s="62"/>
      <c r="H168" s="303"/>
      <c r="I168" s="184"/>
      <c r="J168" s="130"/>
      <c r="K168" s="130"/>
    </row>
    <row r="169" spans="1:11" ht="15" customHeight="1">
      <c r="A169" s="130"/>
      <c r="B169" s="141" t="s">
        <v>425</v>
      </c>
      <c r="C169" s="142" t="s">
        <v>426</v>
      </c>
      <c r="D169" s="62"/>
      <c r="E169" s="62"/>
      <c r="F169" s="62"/>
      <c r="G169" s="62"/>
      <c r="H169" s="302"/>
      <c r="I169" s="63"/>
      <c r="J169" s="130"/>
      <c r="K169" s="130"/>
    </row>
    <row r="170" spans="1:11" ht="19.5" customHeight="1">
      <c r="A170" s="130"/>
      <c r="B170" s="136" t="s">
        <v>44</v>
      </c>
      <c r="C170" s="135" t="s">
        <v>407</v>
      </c>
      <c r="D170" s="62" t="s">
        <v>381</v>
      </c>
      <c r="E170" s="704"/>
      <c r="F170" s="704"/>
      <c r="G170" s="704"/>
      <c r="H170" s="707"/>
      <c r="I170" s="708"/>
      <c r="J170" s="130"/>
      <c r="K170" s="130"/>
    </row>
    <row r="171" spans="1:11" ht="15.75" customHeight="1">
      <c r="A171" s="130"/>
      <c r="B171" s="136" t="s">
        <v>45</v>
      </c>
      <c r="C171" s="135" t="s">
        <v>928</v>
      </c>
      <c r="D171" s="62"/>
      <c r="E171" s="778"/>
      <c r="F171" s="778"/>
      <c r="G171" s="778"/>
      <c r="H171" s="779"/>
      <c r="I171" s="780"/>
      <c r="J171" s="130"/>
      <c r="K171" s="130"/>
    </row>
    <row r="172" spans="1:11" ht="15" customHeight="1">
      <c r="A172" s="130"/>
      <c r="B172" s="136" t="s">
        <v>69</v>
      </c>
      <c r="C172" s="345" t="s">
        <v>427</v>
      </c>
      <c r="D172" s="346" t="s">
        <v>381</v>
      </c>
      <c r="E172" s="704"/>
      <c r="F172" s="704"/>
      <c r="G172" s="704"/>
      <c r="H172" s="707"/>
      <c r="I172" s="708"/>
      <c r="J172" s="130"/>
      <c r="K172" s="130"/>
    </row>
    <row r="173" spans="1:11" ht="15" customHeight="1">
      <c r="A173" s="130"/>
      <c r="B173" s="136" t="s">
        <v>116</v>
      </c>
      <c r="C173" s="345" t="s">
        <v>428</v>
      </c>
      <c r="D173" s="346" t="s">
        <v>326</v>
      </c>
      <c r="E173" s="704"/>
      <c r="F173" s="704"/>
      <c r="G173" s="704"/>
      <c r="H173" s="707"/>
      <c r="I173" s="708"/>
      <c r="J173" s="130"/>
      <c r="K173" s="130"/>
    </row>
    <row r="174" spans="1:11" ht="15" customHeight="1">
      <c r="A174" s="130"/>
      <c r="B174" s="152" t="s">
        <v>117</v>
      </c>
      <c r="C174" s="345" t="s">
        <v>429</v>
      </c>
      <c r="D174" s="346" t="s">
        <v>326</v>
      </c>
      <c r="E174" s="704"/>
      <c r="F174" s="704"/>
      <c r="G174" s="704"/>
      <c r="H174" s="707"/>
      <c r="I174" s="708"/>
      <c r="J174" s="130"/>
      <c r="K174" s="130"/>
    </row>
    <row r="175" spans="1:11" ht="15" customHeight="1">
      <c r="A175" s="130"/>
      <c r="B175" s="152" t="s">
        <v>373</v>
      </c>
      <c r="C175" s="345" t="s">
        <v>430</v>
      </c>
      <c r="D175" s="346" t="s">
        <v>326</v>
      </c>
      <c r="E175" s="704"/>
      <c r="F175" s="704"/>
      <c r="G175" s="704"/>
      <c r="H175" s="707"/>
      <c r="I175" s="708"/>
      <c r="J175" s="130"/>
      <c r="K175" s="130"/>
    </row>
    <row r="176" spans="1:11" ht="15" customHeight="1">
      <c r="A176" s="130"/>
      <c r="B176" s="136" t="s">
        <v>376</v>
      </c>
      <c r="C176" s="165" t="s">
        <v>929</v>
      </c>
      <c r="D176" s="346" t="s">
        <v>326</v>
      </c>
      <c r="E176" s="781"/>
      <c r="F176" s="781"/>
      <c r="G176" s="781"/>
      <c r="H176" s="782"/>
      <c r="I176" s="783"/>
      <c r="J176" s="130"/>
      <c r="K176" s="130"/>
    </row>
    <row r="177" spans="1:11" ht="15" customHeight="1">
      <c r="A177" s="130"/>
      <c r="B177" s="162" t="s">
        <v>431</v>
      </c>
      <c r="C177" s="345" t="s">
        <v>432</v>
      </c>
      <c r="D177" s="346" t="s">
        <v>326</v>
      </c>
      <c r="E177" s="704"/>
      <c r="F177" s="704"/>
      <c r="G177" s="704"/>
      <c r="H177" s="707"/>
      <c r="I177" s="708"/>
      <c r="J177" s="130"/>
      <c r="K177" s="130"/>
    </row>
    <row r="178" spans="1:11" ht="15" customHeight="1">
      <c r="A178" s="130"/>
      <c r="B178" s="163" t="s">
        <v>433</v>
      </c>
      <c r="C178" s="345" t="s">
        <v>434</v>
      </c>
      <c r="D178" s="346" t="s">
        <v>326</v>
      </c>
      <c r="E178" s="704"/>
      <c r="F178" s="704"/>
      <c r="G178" s="704"/>
      <c r="H178" s="707"/>
      <c r="I178" s="708"/>
      <c r="J178" s="130"/>
      <c r="K178" s="130"/>
    </row>
    <row r="179" spans="1:11" ht="15" customHeight="1">
      <c r="A179" s="130"/>
      <c r="B179" s="163" t="s">
        <v>435</v>
      </c>
      <c r="C179" s="345" t="s">
        <v>436</v>
      </c>
      <c r="D179" s="346" t="s">
        <v>326</v>
      </c>
      <c r="E179" s="704"/>
      <c r="F179" s="704"/>
      <c r="G179" s="704"/>
      <c r="H179" s="707"/>
      <c r="I179" s="708"/>
      <c r="J179" s="130"/>
      <c r="K179" s="130"/>
    </row>
    <row r="180" spans="1:11" ht="15" customHeight="1">
      <c r="A180" s="130"/>
      <c r="B180" s="138" t="s">
        <v>437</v>
      </c>
      <c r="C180" s="349" t="s">
        <v>438</v>
      </c>
      <c r="D180" s="346"/>
      <c r="E180" s="778"/>
      <c r="F180" s="778"/>
      <c r="G180" s="718"/>
      <c r="H180" s="719"/>
      <c r="I180" s="732"/>
      <c r="J180" s="130"/>
      <c r="K180" s="130"/>
    </row>
    <row r="181" spans="1:11" ht="18.75" customHeight="1">
      <c r="A181" s="130"/>
      <c r="B181" s="136" t="s">
        <v>44</v>
      </c>
      <c r="C181" s="345" t="s">
        <v>407</v>
      </c>
      <c r="D181" s="346" t="s">
        <v>381</v>
      </c>
      <c r="E181" s="704"/>
      <c r="F181" s="704"/>
      <c r="G181" s="704"/>
      <c r="H181" s="707"/>
      <c r="I181" s="708"/>
      <c r="J181" s="130"/>
      <c r="K181" s="130"/>
    </row>
    <row r="182" spans="1:11" ht="18.75" customHeight="1">
      <c r="A182" s="130"/>
      <c r="B182" s="136" t="s">
        <v>45</v>
      </c>
      <c r="C182" s="345" t="s">
        <v>928</v>
      </c>
      <c r="D182" s="346"/>
      <c r="E182" s="778"/>
      <c r="F182" s="778"/>
      <c r="G182" s="778"/>
      <c r="H182" s="779"/>
      <c r="I182" s="780"/>
      <c r="J182" s="130"/>
      <c r="K182" s="130"/>
    </row>
    <row r="183" spans="1:11" ht="15" customHeight="1">
      <c r="A183" s="130"/>
      <c r="B183" s="136" t="s">
        <v>69</v>
      </c>
      <c r="C183" s="345" t="s">
        <v>427</v>
      </c>
      <c r="D183" s="346" t="s">
        <v>381</v>
      </c>
      <c r="E183" s="704"/>
      <c r="F183" s="704"/>
      <c r="G183" s="704"/>
      <c r="H183" s="707"/>
      <c r="I183" s="708"/>
      <c r="J183" s="130"/>
      <c r="K183" s="130"/>
    </row>
    <row r="184" spans="1:11" ht="15" customHeight="1">
      <c r="A184" s="130"/>
      <c r="B184" s="136" t="s">
        <v>116</v>
      </c>
      <c r="C184" s="345" t="s">
        <v>428</v>
      </c>
      <c r="D184" s="346" t="s">
        <v>326</v>
      </c>
      <c r="E184" s="704"/>
      <c r="F184" s="704"/>
      <c r="G184" s="704"/>
      <c r="H184" s="707"/>
      <c r="I184" s="708"/>
      <c r="J184" s="130"/>
      <c r="K184" s="130"/>
    </row>
    <row r="185" spans="1:11" ht="15" customHeight="1">
      <c r="A185" s="130"/>
      <c r="B185" s="152" t="s">
        <v>117</v>
      </c>
      <c r="C185" s="135" t="s">
        <v>429</v>
      </c>
      <c r="D185" s="62" t="s">
        <v>326</v>
      </c>
      <c r="E185" s="704"/>
      <c r="F185" s="704"/>
      <c r="G185" s="704"/>
      <c r="H185" s="707"/>
      <c r="I185" s="708"/>
      <c r="J185" s="130"/>
      <c r="K185" s="130"/>
    </row>
    <row r="186" spans="1:11" ht="15" customHeight="1">
      <c r="A186" s="130"/>
      <c r="B186" s="152" t="s">
        <v>373</v>
      </c>
      <c r="C186" s="161" t="s">
        <v>430</v>
      </c>
      <c r="D186" s="62" t="s">
        <v>326</v>
      </c>
      <c r="E186" s="704"/>
      <c r="F186" s="704"/>
      <c r="G186" s="704"/>
      <c r="H186" s="707"/>
      <c r="I186" s="708"/>
      <c r="J186" s="130"/>
      <c r="K186" s="130"/>
    </row>
    <row r="187" spans="1:11" ht="15" customHeight="1">
      <c r="A187" s="130"/>
      <c r="B187" s="136" t="s">
        <v>376</v>
      </c>
      <c r="C187" s="165" t="s">
        <v>929</v>
      </c>
      <c r="D187" s="62" t="s">
        <v>326</v>
      </c>
      <c r="E187" s="781"/>
      <c r="F187" s="781"/>
      <c r="G187" s="781"/>
      <c r="H187" s="782"/>
      <c r="I187" s="783"/>
      <c r="J187" s="130"/>
      <c r="K187" s="130"/>
    </row>
    <row r="188" spans="1:11" ht="15" customHeight="1">
      <c r="A188" s="130"/>
      <c r="B188" s="162" t="s">
        <v>431</v>
      </c>
      <c r="C188" s="135" t="s">
        <v>432</v>
      </c>
      <c r="D188" s="62" t="s">
        <v>326</v>
      </c>
      <c r="E188" s="704"/>
      <c r="F188" s="704"/>
      <c r="G188" s="704"/>
      <c r="H188" s="707"/>
      <c r="I188" s="708"/>
      <c r="J188" s="130"/>
      <c r="K188" s="130"/>
    </row>
    <row r="189" spans="1:11" ht="15" customHeight="1">
      <c r="A189" s="130"/>
      <c r="B189" s="163" t="s">
        <v>433</v>
      </c>
      <c r="C189" s="135" t="s">
        <v>434</v>
      </c>
      <c r="D189" s="62" t="s">
        <v>326</v>
      </c>
      <c r="E189" s="704"/>
      <c r="F189" s="704"/>
      <c r="G189" s="704"/>
      <c r="H189" s="707"/>
      <c r="I189" s="708"/>
      <c r="J189" s="130"/>
      <c r="K189" s="130"/>
    </row>
    <row r="190" spans="1:11" ht="15" customHeight="1">
      <c r="A190" s="130"/>
      <c r="B190" s="163" t="s">
        <v>435</v>
      </c>
      <c r="C190" s="135" t="s">
        <v>436</v>
      </c>
      <c r="D190" s="62" t="s">
        <v>326</v>
      </c>
      <c r="E190" s="704"/>
      <c r="F190" s="704"/>
      <c r="G190" s="704"/>
      <c r="H190" s="707"/>
      <c r="I190" s="708"/>
      <c r="J190" s="130"/>
      <c r="K190" s="130"/>
    </row>
    <row r="191" spans="1:11" ht="18" customHeight="1">
      <c r="A191" s="130"/>
      <c r="B191" s="437" t="s">
        <v>439</v>
      </c>
      <c r="C191" s="434" t="s">
        <v>440</v>
      </c>
      <c r="D191" s="438" t="s">
        <v>360</v>
      </c>
      <c r="E191" s="439">
        <f>(E170*E175+E181*E186)/10^4</f>
        <v>0</v>
      </c>
      <c r="F191" s="439">
        <f t="shared" ref="F191:I191" si="19">(F170*F175+F181*F186)/10^4</f>
        <v>0</v>
      </c>
      <c r="G191" s="439">
        <f t="shared" si="19"/>
        <v>0</v>
      </c>
      <c r="H191" s="439">
        <f t="shared" si="19"/>
        <v>0</v>
      </c>
      <c r="I191" s="439">
        <f t="shared" si="19"/>
        <v>0</v>
      </c>
      <c r="J191" s="130"/>
      <c r="K191" s="140"/>
    </row>
    <row r="192" spans="1:11" ht="30" customHeight="1">
      <c r="A192" s="130"/>
      <c r="B192" s="431" t="s">
        <v>441</v>
      </c>
      <c r="C192" s="440" t="s">
        <v>442</v>
      </c>
      <c r="D192" s="441" t="s">
        <v>360</v>
      </c>
      <c r="E192" s="442">
        <f>(E172*E176+E183*E187)/10000</f>
        <v>0</v>
      </c>
      <c r="F192" s="442">
        <f t="shared" ref="F192:I192" si="20">(F172*F176+F183*F187)/10000</f>
        <v>0</v>
      </c>
      <c r="G192" s="442">
        <f t="shared" si="20"/>
        <v>0</v>
      </c>
      <c r="H192" s="442">
        <f t="shared" si="20"/>
        <v>0</v>
      </c>
      <c r="I192" s="442">
        <f t="shared" si="20"/>
        <v>0</v>
      </c>
      <c r="J192" s="130"/>
      <c r="K192" s="140"/>
    </row>
    <row r="193" spans="1:11" ht="15" customHeight="1">
      <c r="A193" s="130"/>
      <c r="B193" s="143" t="s">
        <v>443</v>
      </c>
      <c r="C193" s="165" t="s">
        <v>444</v>
      </c>
      <c r="D193" s="346"/>
      <c r="E193" s="66"/>
      <c r="F193" s="66"/>
      <c r="G193" s="62"/>
      <c r="H193" s="302"/>
      <c r="I193" s="63"/>
      <c r="J193" s="130"/>
      <c r="K193" s="130"/>
    </row>
    <row r="194" spans="1:11" ht="15" customHeight="1">
      <c r="A194" s="130"/>
      <c r="B194" s="155" t="s">
        <v>445</v>
      </c>
      <c r="C194" s="376" t="s">
        <v>446</v>
      </c>
      <c r="D194" s="346"/>
      <c r="E194" s="66"/>
      <c r="F194" s="66"/>
      <c r="G194" s="62"/>
      <c r="H194" s="302"/>
      <c r="I194" s="63"/>
      <c r="J194" s="130"/>
      <c r="K194" s="130"/>
    </row>
    <row r="195" spans="1:11" ht="15" customHeight="1">
      <c r="A195" s="130"/>
      <c r="B195" s="136" t="s">
        <v>44</v>
      </c>
      <c r="C195" s="345" t="s">
        <v>447</v>
      </c>
      <c r="D195" s="346" t="s">
        <v>381</v>
      </c>
      <c r="E195" s="704"/>
      <c r="F195" s="704"/>
      <c r="G195" s="704"/>
      <c r="H195" s="707"/>
      <c r="I195" s="708"/>
      <c r="J195" s="130"/>
      <c r="K195" s="130"/>
    </row>
    <row r="196" spans="1:11" ht="18" customHeight="1">
      <c r="A196" s="130"/>
      <c r="B196" s="136" t="s">
        <v>45</v>
      </c>
      <c r="C196" s="345" t="s">
        <v>448</v>
      </c>
      <c r="D196" s="346" t="s">
        <v>381</v>
      </c>
      <c r="E196" s="704"/>
      <c r="F196" s="704"/>
      <c r="G196" s="704"/>
      <c r="H196" s="707"/>
      <c r="I196" s="708"/>
      <c r="J196" s="130"/>
      <c r="K196" s="130"/>
    </row>
    <row r="197" spans="1:11" ht="15" customHeight="1">
      <c r="A197" s="130"/>
      <c r="B197" s="136" t="s">
        <v>69</v>
      </c>
      <c r="C197" s="345" t="s">
        <v>428</v>
      </c>
      <c r="D197" s="346" t="s">
        <v>384</v>
      </c>
      <c r="E197" s="704"/>
      <c r="F197" s="704"/>
      <c r="G197" s="704"/>
      <c r="H197" s="707"/>
      <c r="I197" s="708"/>
      <c r="J197" s="130"/>
      <c r="K197" s="130"/>
    </row>
    <row r="198" spans="1:11" ht="15" customHeight="1">
      <c r="A198" s="130"/>
      <c r="B198" s="136" t="s">
        <v>116</v>
      </c>
      <c r="C198" s="345" t="s">
        <v>449</v>
      </c>
      <c r="D198" s="346" t="s">
        <v>384</v>
      </c>
      <c r="E198" s="704"/>
      <c r="F198" s="704"/>
      <c r="G198" s="704"/>
      <c r="H198" s="707"/>
      <c r="I198" s="708"/>
      <c r="J198" s="130"/>
      <c r="K198" s="130"/>
    </row>
    <row r="199" spans="1:11" ht="15" customHeight="1">
      <c r="A199" s="130"/>
      <c r="B199" s="152" t="s">
        <v>117</v>
      </c>
      <c r="C199" s="345" t="s">
        <v>450</v>
      </c>
      <c r="D199" s="346" t="s">
        <v>451</v>
      </c>
      <c r="E199" s="704"/>
      <c r="F199" s="704"/>
      <c r="G199" s="704"/>
      <c r="H199" s="707"/>
      <c r="I199" s="708"/>
      <c r="J199" s="130"/>
      <c r="K199" s="130"/>
    </row>
    <row r="200" spans="1:11" ht="15" customHeight="1">
      <c r="A200" s="130"/>
      <c r="B200" s="152" t="s">
        <v>373</v>
      </c>
      <c r="C200" s="345" t="s">
        <v>430</v>
      </c>
      <c r="D200" s="346" t="s">
        <v>384</v>
      </c>
      <c r="E200" s="704"/>
      <c r="F200" s="704"/>
      <c r="G200" s="704"/>
      <c r="H200" s="707"/>
      <c r="I200" s="708"/>
      <c r="J200" s="130"/>
      <c r="K200" s="130"/>
    </row>
    <row r="201" spans="1:11" ht="15" customHeight="1">
      <c r="A201" s="130"/>
      <c r="B201" s="136" t="s">
        <v>376</v>
      </c>
      <c r="C201" s="165" t="s">
        <v>929</v>
      </c>
      <c r="D201" s="346" t="s">
        <v>326</v>
      </c>
      <c r="E201" s="781"/>
      <c r="F201" s="781"/>
      <c r="G201" s="781"/>
      <c r="H201" s="782"/>
      <c r="I201" s="783"/>
      <c r="J201" s="130"/>
      <c r="K201" s="130"/>
    </row>
    <row r="202" spans="1:11" ht="15" customHeight="1">
      <c r="A202" s="130"/>
      <c r="B202" s="162" t="s">
        <v>431</v>
      </c>
      <c r="C202" s="345" t="s">
        <v>432</v>
      </c>
      <c r="D202" s="346" t="s">
        <v>384</v>
      </c>
      <c r="E202" s="704"/>
      <c r="F202" s="704"/>
      <c r="G202" s="704"/>
      <c r="H202" s="707"/>
      <c r="I202" s="708"/>
      <c r="J202" s="130"/>
      <c r="K202" s="130"/>
    </row>
    <row r="203" spans="1:11" ht="15" customHeight="1">
      <c r="A203" s="130"/>
      <c r="B203" s="163" t="s">
        <v>433</v>
      </c>
      <c r="C203" s="345" t="s">
        <v>434</v>
      </c>
      <c r="D203" s="346" t="s">
        <v>384</v>
      </c>
      <c r="E203" s="704"/>
      <c r="F203" s="704"/>
      <c r="G203" s="704"/>
      <c r="H203" s="707"/>
      <c r="I203" s="708"/>
      <c r="J203" s="130"/>
      <c r="K203" s="130"/>
    </row>
    <row r="204" spans="1:11" ht="15" customHeight="1">
      <c r="A204" s="130"/>
      <c r="B204" s="163" t="s">
        <v>435</v>
      </c>
      <c r="C204" s="345" t="s">
        <v>436</v>
      </c>
      <c r="D204" s="346" t="s">
        <v>384</v>
      </c>
      <c r="E204" s="704"/>
      <c r="F204" s="704"/>
      <c r="G204" s="704"/>
      <c r="H204" s="707"/>
      <c r="I204" s="708"/>
      <c r="J204" s="130"/>
      <c r="K204" s="130"/>
    </row>
    <row r="205" spans="1:11" ht="15" customHeight="1">
      <c r="A205" s="130"/>
      <c r="B205" s="155" t="s">
        <v>452</v>
      </c>
      <c r="C205" s="376" t="s">
        <v>453</v>
      </c>
      <c r="D205" s="346"/>
      <c r="E205" s="754"/>
      <c r="F205" s="754"/>
      <c r="G205" s="700"/>
      <c r="H205" s="701"/>
      <c r="I205" s="702"/>
      <c r="J205" s="130"/>
      <c r="K205" s="130"/>
    </row>
    <row r="206" spans="1:11" ht="15" customHeight="1">
      <c r="A206" s="130"/>
      <c r="B206" s="136" t="s">
        <v>44</v>
      </c>
      <c r="C206" s="345" t="s">
        <v>447</v>
      </c>
      <c r="D206" s="346" t="s">
        <v>381</v>
      </c>
      <c r="E206" s="704"/>
      <c r="F206" s="704"/>
      <c r="G206" s="704"/>
      <c r="H206" s="707"/>
      <c r="I206" s="708"/>
      <c r="J206" s="130"/>
      <c r="K206" s="130"/>
    </row>
    <row r="207" spans="1:11" ht="17.25" customHeight="1">
      <c r="A207" s="130"/>
      <c r="B207" s="136" t="s">
        <v>45</v>
      </c>
      <c r="C207" s="345" t="s">
        <v>448</v>
      </c>
      <c r="D207" s="346" t="s">
        <v>381</v>
      </c>
      <c r="E207" s="704"/>
      <c r="F207" s="704"/>
      <c r="G207" s="704"/>
      <c r="H207" s="707"/>
      <c r="I207" s="708"/>
      <c r="J207" s="130"/>
      <c r="K207" s="130"/>
    </row>
    <row r="208" spans="1:11" ht="15" customHeight="1">
      <c r="A208" s="130"/>
      <c r="B208" s="136" t="s">
        <v>69</v>
      </c>
      <c r="C208" s="345" t="s">
        <v>428</v>
      </c>
      <c r="D208" s="346" t="s">
        <v>326</v>
      </c>
      <c r="E208" s="704"/>
      <c r="F208" s="704"/>
      <c r="G208" s="704"/>
      <c r="H208" s="707"/>
      <c r="I208" s="708"/>
      <c r="J208" s="130"/>
      <c r="K208" s="130"/>
    </row>
    <row r="209" spans="1:11" ht="15" customHeight="1">
      <c r="A209" s="130"/>
      <c r="B209" s="136" t="s">
        <v>116</v>
      </c>
      <c r="C209" s="345" t="s">
        <v>429</v>
      </c>
      <c r="D209" s="346" t="s">
        <v>326</v>
      </c>
      <c r="E209" s="704"/>
      <c r="F209" s="704"/>
      <c r="G209" s="704"/>
      <c r="H209" s="707"/>
      <c r="I209" s="708"/>
      <c r="J209" s="130"/>
      <c r="K209" s="130"/>
    </row>
    <row r="210" spans="1:11" ht="15" customHeight="1">
      <c r="A210" s="130"/>
      <c r="B210" s="152" t="s">
        <v>117</v>
      </c>
      <c r="C210" s="345" t="s">
        <v>450</v>
      </c>
      <c r="D210" s="346" t="s">
        <v>451</v>
      </c>
      <c r="E210" s="704"/>
      <c r="F210" s="704"/>
      <c r="G210" s="704"/>
      <c r="H210" s="707"/>
      <c r="I210" s="708"/>
      <c r="J210" s="130"/>
      <c r="K210" s="130"/>
    </row>
    <row r="211" spans="1:11" ht="15" customHeight="1">
      <c r="A211" s="130"/>
      <c r="B211" s="152" t="s">
        <v>373</v>
      </c>
      <c r="C211" s="345" t="s">
        <v>430</v>
      </c>
      <c r="D211" s="346" t="s">
        <v>326</v>
      </c>
      <c r="E211" s="704"/>
      <c r="F211" s="704"/>
      <c r="G211" s="704"/>
      <c r="H211" s="707"/>
      <c r="I211" s="708"/>
      <c r="J211" s="130"/>
      <c r="K211" s="130"/>
    </row>
    <row r="212" spans="1:11" ht="15" customHeight="1">
      <c r="A212" s="130"/>
      <c r="B212" s="136" t="s">
        <v>376</v>
      </c>
      <c r="C212" s="165" t="s">
        <v>929</v>
      </c>
      <c r="D212" s="346" t="s">
        <v>326</v>
      </c>
      <c r="E212" s="781"/>
      <c r="F212" s="781"/>
      <c r="G212" s="781"/>
      <c r="H212" s="782"/>
      <c r="I212" s="783"/>
      <c r="J212" s="130"/>
      <c r="K212" s="130"/>
    </row>
    <row r="213" spans="1:11" ht="15" customHeight="1">
      <c r="A213" s="130"/>
      <c r="B213" s="162" t="s">
        <v>431</v>
      </c>
      <c r="C213" s="345" t="s">
        <v>432</v>
      </c>
      <c r="D213" s="346" t="s">
        <v>326</v>
      </c>
      <c r="E213" s="704"/>
      <c r="F213" s="704"/>
      <c r="G213" s="704"/>
      <c r="H213" s="707"/>
      <c r="I213" s="708"/>
      <c r="J213" s="130"/>
      <c r="K213" s="130"/>
    </row>
    <row r="214" spans="1:11" ht="15" customHeight="1">
      <c r="A214" s="130"/>
      <c r="B214" s="163" t="s">
        <v>433</v>
      </c>
      <c r="C214" s="345" t="s">
        <v>434</v>
      </c>
      <c r="D214" s="346" t="s">
        <v>326</v>
      </c>
      <c r="E214" s="704"/>
      <c r="F214" s="704"/>
      <c r="G214" s="704"/>
      <c r="H214" s="707"/>
      <c r="I214" s="708"/>
      <c r="J214" s="130"/>
      <c r="K214" s="130"/>
    </row>
    <row r="215" spans="1:11" ht="15" customHeight="1">
      <c r="A215" s="130"/>
      <c r="B215" s="163" t="s">
        <v>435</v>
      </c>
      <c r="C215" s="345" t="s">
        <v>436</v>
      </c>
      <c r="D215" s="346" t="s">
        <v>326</v>
      </c>
      <c r="E215" s="704"/>
      <c r="F215" s="704"/>
      <c r="G215" s="704"/>
      <c r="H215" s="707"/>
      <c r="I215" s="708"/>
      <c r="J215" s="130"/>
      <c r="K215" s="130"/>
    </row>
    <row r="216" spans="1:11" ht="15" customHeight="1">
      <c r="A216" s="130"/>
      <c r="B216" s="155" t="s">
        <v>454</v>
      </c>
      <c r="C216" s="376" t="s">
        <v>455</v>
      </c>
      <c r="D216" s="346"/>
      <c r="E216" s="754"/>
      <c r="F216" s="754"/>
      <c r="G216" s="700"/>
      <c r="H216" s="701"/>
      <c r="I216" s="702"/>
      <c r="J216" s="130"/>
      <c r="K216" s="130"/>
    </row>
    <row r="217" spans="1:11" ht="15" customHeight="1">
      <c r="A217" s="130"/>
      <c r="B217" s="136" t="s">
        <v>44</v>
      </c>
      <c r="C217" s="345" t="s">
        <v>447</v>
      </c>
      <c r="D217" s="346" t="s">
        <v>381</v>
      </c>
      <c r="E217" s="704"/>
      <c r="F217" s="704"/>
      <c r="G217" s="704"/>
      <c r="H217" s="707"/>
      <c r="I217" s="708"/>
      <c r="J217" s="130"/>
      <c r="K217" s="130"/>
    </row>
    <row r="218" spans="1:11" ht="15.75" customHeight="1">
      <c r="A218" s="130"/>
      <c r="B218" s="136" t="s">
        <v>45</v>
      </c>
      <c r="C218" s="345" t="s">
        <v>448</v>
      </c>
      <c r="D218" s="346" t="s">
        <v>381</v>
      </c>
      <c r="E218" s="704"/>
      <c r="F218" s="704"/>
      <c r="G218" s="704"/>
      <c r="H218" s="707"/>
      <c r="I218" s="708"/>
      <c r="J218" s="130"/>
      <c r="K218" s="130"/>
    </row>
    <row r="219" spans="1:11" ht="15" customHeight="1">
      <c r="A219" s="130"/>
      <c r="B219" s="136" t="s">
        <v>69</v>
      </c>
      <c r="C219" s="345" t="s">
        <v>428</v>
      </c>
      <c r="D219" s="346" t="s">
        <v>326</v>
      </c>
      <c r="E219" s="704"/>
      <c r="F219" s="704"/>
      <c r="G219" s="704"/>
      <c r="H219" s="707"/>
      <c r="I219" s="708"/>
      <c r="J219" s="130"/>
      <c r="K219" s="130"/>
    </row>
    <row r="220" spans="1:11" ht="15" customHeight="1">
      <c r="A220" s="130"/>
      <c r="B220" s="136" t="s">
        <v>116</v>
      </c>
      <c r="C220" s="345" t="s">
        <v>429</v>
      </c>
      <c r="D220" s="346" t="s">
        <v>326</v>
      </c>
      <c r="E220" s="704"/>
      <c r="F220" s="704"/>
      <c r="G220" s="704"/>
      <c r="H220" s="707"/>
      <c r="I220" s="708"/>
      <c r="J220" s="130"/>
      <c r="K220" s="130"/>
    </row>
    <row r="221" spans="1:11" ht="15" customHeight="1">
      <c r="A221" s="130"/>
      <c r="B221" s="152" t="s">
        <v>117</v>
      </c>
      <c r="C221" s="345" t="s">
        <v>450</v>
      </c>
      <c r="D221" s="346" t="s">
        <v>451</v>
      </c>
      <c r="E221" s="704"/>
      <c r="F221" s="704"/>
      <c r="G221" s="704"/>
      <c r="H221" s="707"/>
      <c r="I221" s="708"/>
      <c r="J221" s="130"/>
      <c r="K221" s="130"/>
    </row>
    <row r="222" spans="1:11" ht="15" customHeight="1">
      <c r="A222" s="130"/>
      <c r="B222" s="152" t="s">
        <v>373</v>
      </c>
      <c r="C222" s="345" t="s">
        <v>430</v>
      </c>
      <c r="D222" s="346" t="s">
        <v>326</v>
      </c>
      <c r="E222" s="704"/>
      <c r="F222" s="704"/>
      <c r="G222" s="704"/>
      <c r="H222" s="707"/>
      <c r="I222" s="708"/>
      <c r="J222" s="130"/>
      <c r="K222" s="130"/>
    </row>
    <row r="223" spans="1:11" ht="15" customHeight="1">
      <c r="A223" s="130"/>
      <c r="B223" s="136" t="s">
        <v>376</v>
      </c>
      <c r="C223" s="165" t="s">
        <v>929</v>
      </c>
      <c r="D223" s="346" t="s">
        <v>326</v>
      </c>
      <c r="E223" s="781"/>
      <c r="F223" s="781"/>
      <c r="G223" s="781"/>
      <c r="H223" s="782"/>
      <c r="I223" s="783"/>
      <c r="J223" s="130"/>
      <c r="K223" s="130"/>
    </row>
    <row r="224" spans="1:11" ht="15" customHeight="1">
      <c r="A224" s="130"/>
      <c r="B224" s="162" t="s">
        <v>431</v>
      </c>
      <c r="C224" s="345" t="s">
        <v>432</v>
      </c>
      <c r="D224" s="346" t="s">
        <v>326</v>
      </c>
      <c r="E224" s="704"/>
      <c r="F224" s="704"/>
      <c r="G224" s="704"/>
      <c r="H224" s="707"/>
      <c r="I224" s="708"/>
      <c r="J224" s="130"/>
      <c r="K224" s="130"/>
    </row>
    <row r="225" spans="1:11" ht="15" customHeight="1">
      <c r="A225" s="130"/>
      <c r="B225" s="163" t="s">
        <v>433</v>
      </c>
      <c r="C225" s="345" t="s">
        <v>434</v>
      </c>
      <c r="D225" s="346" t="s">
        <v>326</v>
      </c>
      <c r="E225" s="704"/>
      <c r="F225" s="704"/>
      <c r="G225" s="704"/>
      <c r="H225" s="707"/>
      <c r="I225" s="708"/>
      <c r="J225" s="130"/>
      <c r="K225" s="130"/>
    </row>
    <row r="226" spans="1:11" ht="15" customHeight="1">
      <c r="A226" s="130"/>
      <c r="B226" s="163" t="s">
        <v>435</v>
      </c>
      <c r="C226" s="345" t="s">
        <v>436</v>
      </c>
      <c r="D226" s="346" t="s">
        <v>326</v>
      </c>
      <c r="E226" s="704"/>
      <c r="F226" s="704"/>
      <c r="G226" s="704"/>
      <c r="H226" s="707"/>
      <c r="I226" s="708"/>
      <c r="J226" s="130"/>
      <c r="K226" s="130"/>
    </row>
    <row r="227" spans="1:11" ht="15" customHeight="1">
      <c r="A227" s="130"/>
      <c r="B227" s="155" t="s">
        <v>456</v>
      </c>
      <c r="C227" s="376" t="s">
        <v>927</v>
      </c>
      <c r="D227" s="346"/>
      <c r="E227" s="754"/>
      <c r="F227" s="754"/>
      <c r="G227" s="700"/>
      <c r="H227" s="701"/>
      <c r="I227" s="702"/>
      <c r="J227" s="130"/>
      <c r="K227" s="130"/>
    </row>
    <row r="228" spans="1:11" ht="15" customHeight="1">
      <c r="A228" s="130"/>
      <c r="B228" s="136" t="s">
        <v>44</v>
      </c>
      <c r="C228" s="345" t="s">
        <v>447</v>
      </c>
      <c r="D228" s="346" t="s">
        <v>381</v>
      </c>
      <c r="E228" s="704"/>
      <c r="F228" s="704"/>
      <c r="G228" s="704"/>
      <c r="H228" s="707"/>
      <c r="I228" s="708"/>
      <c r="J228" s="130"/>
      <c r="K228" s="130"/>
    </row>
    <row r="229" spans="1:11" ht="15" customHeight="1">
      <c r="A229" s="130"/>
      <c r="B229" s="136" t="s">
        <v>45</v>
      </c>
      <c r="C229" s="345" t="s">
        <v>448</v>
      </c>
      <c r="D229" s="346" t="s">
        <v>381</v>
      </c>
      <c r="E229" s="704"/>
      <c r="F229" s="704"/>
      <c r="G229" s="704"/>
      <c r="H229" s="707"/>
      <c r="I229" s="708"/>
      <c r="J229" s="130"/>
      <c r="K229" s="130"/>
    </row>
    <row r="230" spans="1:11" ht="15" customHeight="1">
      <c r="A230" s="130"/>
      <c r="B230" s="136" t="s">
        <v>69</v>
      </c>
      <c r="C230" s="345" t="s">
        <v>428</v>
      </c>
      <c r="D230" s="346" t="s">
        <v>326</v>
      </c>
      <c r="E230" s="704"/>
      <c r="F230" s="704"/>
      <c r="G230" s="704"/>
      <c r="H230" s="707"/>
      <c r="I230" s="708"/>
      <c r="J230" s="130"/>
      <c r="K230" s="130"/>
    </row>
    <row r="231" spans="1:11" ht="15" customHeight="1">
      <c r="A231" s="130"/>
      <c r="B231" s="136" t="s">
        <v>116</v>
      </c>
      <c r="C231" s="345" t="s">
        <v>449</v>
      </c>
      <c r="D231" s="346" t="s">
        <v>384</v>
      </c>
      <c r="E231" s="704"/>
      <c r="F231" s="704"/>
      <c r="G231" s="704"/>
      <c r="H231" s="707"/>
      <c r="I231" s="708"/>
      <c r="J231" s="130"/>
      <c r="K231" s="130"/>
    </row>
    <row r="232" spans="1:11" ht="15" customHeight="1">
      <c r="A232" s="130"/>
      <c r="B232" s="152" t="s">
        <v>117</v>
      </c>
      <c r="C232" s="345" t="s">
        <v>458</v>
      </c>
      <c r="D232" s="346" t="s">
        <v>451</v>
      </c>
      <c r="E232" s="704"/>
      <c r="F232" s="704"/>
      <c r="G232" s="704"/>
      <c r="H232" s="707"/>
      <c r="I232" s="708"/>
      <c r="J232" s="130"/>
      <c r="K232" s="130"/>
    </row>
    <row r="233" spans="1:11" ht="15" customHeight="1">
      <c r="A233" s="130"/>
      <c r="B233" s="152" t="s">
        <v>373</v>
      </c>
      <c r="C233" s="345" t="s">
        <v>430</v>
      </c>
      <c r="D233" s="346" t="s">
        <v>384</v>
      </c>
      <c r="E233" s="704"/>
      <c r="F233" s="704"/>
      <c r="G233" s="704"/>
      <c r="H233" s="707"/>
      <c r="I233" s="708"/>
      <c r="J233" s="130"/>
      <c r="K233" s="130"/>
    </row>
    <row r="234" spans="1:11" ht="15" customHeight="1">
      <c r="A234" s="130"/>
      <c r="B234" s="136" t="s">
        <v>376</v>
      </c>
      <c r="C234" s="165" t="s">
        <v>929</v>
      </c>
      <c r="D234" s="346" t="s">
        <v>326</v>
      </c>
      <c r="E234" s="781"/>
      <c r="F234" s="781"/>
      <c r="G234" s="781"/>
      <c r="H234" s="782"/>
      <c r="I234" s="783"/>
      <c r="J234" s="130"/>
      <c r="K234" s="130"/>
    </row>
    <row r="235" spans="1:11" ht="15" customHeight="1">
      <c r="A235" s="130"/>
      <c r="B235" s="162" t="s">
        <v>431</v>
      </c>
      <c r="C235" s="345" t="s">
        <v>432</v>
      </c>
      <c r="D235" s="346" t="s">
        <v>384</v>
      </c>
      <c r="E235" s="704"/>
      <c r="F235" s="704"/>
      <c r="G235" s="704"/>
      <c r="H235" s="707"/>
      <c r="I235" s="708"/>
      <c r="J235" s="130"/>
      <c r="K235" s="130"/>
    </row>
    <row r="236" spans="1:11" ht="15" customHeight="1">
      <c r="A236" s="130"/>
      <c r="B236" s="163" t="s">
        <v>433</v>
      </c>
      <c r="C236" s="345" t="s">
        <v>434</v>
      </c>
      <c r="D236" s="346" t="s">
        <v>384</v>
      </c>
      <c r="E236" s="704"/>
      <c r="F236" s="704"/>
      <c r="G236" s="704"/>
      <c r="H236" s="707"/>
      <c r="I236" s="708"/>
      <c r="J236" s="130"/>
      <c r="K236" s="130"/>
    </row>
    <row r="237" spans="1:11" ht="15" customHeight="1">
      <c r="A237" s="130"/>
      <c r="B237" s="163" t="s">
        <v>435</v>
      </c>
      <c r="C237" s="345" t="s">
        <v>436</v>
      </c>
      <c r="D237" s="346" t="s">
        <v>384</v>
      </c>
      <c r="E237" s="704"/>
      <c r="F237" s="704"/>
      <c r="G237" s="704"/>
      <c r="H237" s="707"/>
      <c r="I237" s="708"/>
      <c r="J237" s="130"/>
      <c r="K237" s="130"/>
    </row>
    <row r="238" spans="1:11" ht="20.25" customHeight="1">
      <c r="A238" s="130"/>
      <c r="B238" s="437" t="s">
        <v>459</v>
      </c>
      <c r="C238" s="443" t="s">
        <v>460</v>
      </c>
      <c r="D238" s="444" t="s">
        <v>360</v>
      </c>
      <c r="E238" s="445">
        <f>(E195*E200*E199+E206*E211+E217*E222+E228*E233*E232)/10^4</f>
        <v>0</v>
      </c>
      <c r="F238" s="445">
        <f t="shared" ref="F238:I238" si="21">(F195*F200*F199+F206*F211+F217*F222+F228*F233*F232)/10^4</f>
        <v>0</v>
      </c>
      <c r="G238" s="445">
        <f t="shared" si="21"/>
        <v>0</v>
      </c>
      <c r="H238" s="445">
        <f t="shared" si="21"/>
        <v>0</v>
      </c>
      <c r="I238" s="445">
        <f t="shared" si="21"/>
        <v>0</v>
      </c>
      <c r="J238" s="130"/>
      <c r="K238" s="130"/>
    </row>
    <row r="239" spans="1:11" ht="27" customHeight="1">
      <c r="A239" s="130"/>
      <c r="B239" s="431" t="s">
        <v>461</v>
      </c>
      <c r="C239" s="432" t="s">
        <v>462</v>
      </c>
      <c r="D239" s="446" t="s">
        <v>360</v>
      </c>
      <c r="E239" s="442">
        <f>(E196*E201+E207*E212+E218*E223+E229*E234)/10000</f>
        <v>0</v>
      </c>
      <c r="F239" s="442">
        <f t="shared" ref="F239:I239" si="22">(F196*F201+F207*F212+F218*F223+F229*F234)/10000</f>
        <v>0</v>
      </c>
      <c r="G239" s="442">
        <f t="shared" si="22"/>
        <v>0</v>
      </c>
      <c r="H239" s="442">
        <f t="shared" si="22"/>
        <v>0</v>
      </c>
      <c r="I239" s="442">
        <f t="shared" si="22"/>
        <v>0</v>
      </c>
      <c r="J239" s="130"/>
      <c r="K239" s="130"/>
    </row>
    <row r="240" spans="1:11" ht="3.75" customHeight="1">
      <c r="A240" s="130"/>
      <c r="B240" s="132"/>
      <c r="C240" s="133"/>
      <c r="D240" s="112"/>
      <c r="E240" s="112"/>
      <c r="F240" s="112"/>
      <c r="G240" s="164"/>
      <c r="H240" s="304"/>
      <c r="I240" s="111"/>
      <c r="J240" s="130"/>
      <c r="K240" s="130"/>
    </row>
    <row r="241" spans="1:14" ht="15" customHeight="1">
      <c r="A241" s="130"/>
      <c r="B241" s="378" t="s">
        <v>463</v>
      </c>
      <c r="C241" s="379" t="s">
        <v>464</v>
      </c>
      <c r="D241" s="346"/>
      <c r="E241" s="346"/>
      <c r="F241" s="346"/>
      <c r="G241" s="62"/>
      <c r="H241" s="302"/>
      <c r="I241" s="63"/>
      <c r="J241" s="130"/>
      <c r="K241" s="130"/>
    </row>
    <row r="242" spans="1:14" ht="15" customHeight="1">
      <c r="A242" s="130"/>
      <c r="B242" s="343" t="s">
        <v>465</v>
      </c>
      <c r="C242" s="382" t="s">
        <v>466</v>
      </c>
      <c r="D242" s="346"/>
      <c r="E242" s="346"/>
      <c r="F242" s="346"/>
      <c r="G242" s="62"/>
      <c r="H242" s="302"/>
      <c r="I242" s="63"/>
      <c r="J242" s="130"/>
      <c r="K242" s="130"/>
    </row>
    <row r="243" spans="1:14" ht="15" customHeight="1">
      <c r="A243" s="130"/>
      <c r="B243" s="352" t="s">
        <v>44</v>
      </c>
      <c r="C243" s="345" t="s">
        <v>467</v>
      </c>
      <c r="D243" s="346" t="s">
        <v>468</v>
      </c>
      <c r="E243" s="774"/>
      <c r="F243" s="774"/>
      <c r="G243" s="704"/>
      <c r="H243" s="707"/>
      <c r="I243" s="708"/>
      <c r="J243" s="130"/>
      <c r="K243" s="130"/>
    </row>
    <row r="244" spans="1:14" ht="15" customHeight="1">
      <c r="A244" s="130"/>
      <c r="B244" s="352" t="s">
        <v>45</v>
      </c>
      <c r="C244" s="345" t="s">
        <v>469</v>
      </c>
      <c r="D244" s="346" t="s">
        <v>468</v>
      </c>
      <c r="E244" s="764"/>
      <c r="F244" s="764"/>
      <c r="G244" s="704"/>
      <c r="H244" s="704"/>
      <c r="I244" s="784"/>
      <c r="J244" s="130"/>
      <c r="K244" s="130"/>
    </row>
    <row r="245" spans="1:14" ht="15" customHeight="1">
      <c r="A245" s="130"/>
      <c r="B245" s="352" t="s">
        <v>69</v>
      </c>
      <c r="C245" s="345" t="s">
        <v>429</v>
      </c>
      <c r="D245" s="346" t="s">
        <v>410</v>
      </c>
      <c r="E245" s="785"/>
      <c r="F245" s="785"/>
      <c r="G245" s="704"/>
      <c r="H245" s="707"/>
      <c r="I245" s="708"/>
      <c r="J245" s="130"/>
      <c r="K245" s="130"/>
    </row>
    <row r="246" spans="1:14" ht="15" customHeight="1">
      <c r="A246" s="130"/>
      <c r="B246" s="352" t="s">
        <v>116</v>
      </c>
      <c r="C246" s="165" t="s">
        <v>929</v>
      </c>
      <c r="D246" s="346" t="s">
        <v>410</v>
      </c>
      <c r="E246" s="786"/>
      <c r="F246" s="786"/>
      <c r="G246" s="781"/>
      <c r="H246" s="781"/>
      <c r="I246" s="787"/>
      <c r="J246" s="130"/>
      <c r="K246" s="130"/>
    </row>
    <row r="247" spans="1:14" ht="15" customHeight="1">
      <c r="A247" s="130"/>
      <c r="B247" s="380" t="s">
        <v>470</v>
      </c>
      <c r="C247" s="345" t="s">
        <v>432</v>
      </c>
      <c r="D247" s="346" t="s">
        <v>410</v>
      </c>
      <c r="E247" s="785"/>
      <c r="F247" s="785"/>
      <c r="G247" s="704"/>
      <c r="H247" s="704"/>
      <c r="I247" s="708"/>
      <c r="J247" s="130"/>
      <c r="K247" s="130"/>
    </row>
    <row r="248" spans="1:14" ht="18.75" customHeight="1">
      <c r="A248" s="130"/>
      <c r="B248" s="380" t="s">
        <v>471</v>
      </c>
      <c r="C248" s="345" t="s">
        <v>472</v>
      </c>
      <c r="D248" s="346" t="s">
        <v>410</v>
      </c>
      <c r="E248" s="785"/>
      <c r="F248" s="785"/>
      <c r="G248" s="704"/>
      <c r="H248" s="704"/>
      <c r="I248" s="767"/>
      <c r="J248" s="130"/>
      <c r="K248" s="130"/>
    </row>
    <row r="249" spans="1:14" ht="21" customHeight="1">
      <c r="A249" s="130"/>
      <c r="B249" s="352" t="s">
        <v>473</v>
      </c>
      <c r="C249" s="345" t="s">
        <v>474</v>
      </c>
      <c r="D249" s="346" t="s">
        <v>410</v>
      </c>
      <c r="E249" s="774"/>
      <c r="F249" s="774"/>
      <c r="G249" s="704"/>
      <c r="H249" s="707"/>
      <c r="I249" s="708"/>
      <c r="J249" s="130"/>
      <c r="K249" s="130"/>
    </row>
    <row r="250" spans="1:14" ht="18.75" customHeight="1">
      <c r="A250" s="130"/>
      <c r="B250" s="381" t="s">
        <v>475</v>
      </c>
      <c r="C250" s="345" t="s">
        <v>436</v>
      </c>
      <c r="D250" s="346" t="s">
        <v>410</v>
      </c>
      <c r="E250" s="785"/>
      <c r="F250" s="785"/>
      <c r="G250" s="704"/>
      <c r="H250" s="707"/>
      <c r="I250" s="708"/>
      <c r="J250" s="130"/>
      <c r="K250" s="137"/>
      <c r="L250" s="714"/>
      <c r="M250" s="714"/>
      <c r="N250" s="714"/>
    </row>
    <row r="251" spans="1:14" ht="15.75" customHeight="1">
      <c r="A251" s="130"/>
      <c r="B251" s="343" t="s">
        <v>476</v>
      </c>
      <c r="C251" s="382" t="s">
        <v>477</v>
      </c>
      <c r="D251" s="346"/>
      <c r="E251" s="758"/>
      <c r="F251" s="758"/>
      <c r="G251" s="700"/>
      <c r="H251" s="701"/>
      <c r="I251" s="702"/>
      <c r="J251" s="130"/>
      <c r="K251" s="130"/>
    </row>
    <row r="252" spans="1:14" ht="15" customHeight="1">
      <c r="A252" s="130"/>
      <c r="B252" s="352" t="s">
        <v>44</v>
      </c>
      <c r="C252" s="345" t="s">
        <v>447</v>
      </c>
      <c r="D252" s="346" t="s">
        <v>506</v>
      </c>
      <c r="E252" s="764"/>
      <c r="F252" s="764"/>
      <c r="G252" s="704"/>
      <c r="H252" s="707"/>
      <c r="I252" s="708"/>
      <c r="J252" s="130"/>
      <c r="K252" s="130"/>
    </row>
    <row r="253" spans="1:14" ht="17.25" customHeight="1">
      <c r="A253" s="130"/>
      <c r="B253" s="352" t="s">
        <v>45</v>
      </c>
      <c r="C253" s="345" t="s">
        <v>469</v>
      </c>
      <c r="D253" s="346" t="s">
        <v>506</v>
      </c>
      <c r="E253" s="764"/>
      <c r="F253" s="764"/>
      <c r="G253" s="704"/>
      <c r="H253" s="707"/>
      <c r="I253" s="708"/>
      <c r="J253" s="130"/>
      <c r="K253" s="130"/>
    </row>
    <row r="254" spans="1:14" ht="18" customHeight="1">
      <c r="A254" s="130"/>
      <c r="B254" s="352"/>
      <c r="C254" s="345" t="s">
        <v>507</v>
      </c>
      <c r="D254" s="346" t="s">
        <v>508</v>
      </c>
      <c r="E254" s="785"/>
      <c r="F254" s="785"/>
      <c r="G254" s="704"/>
      <c r="H254" s="707"/>
      <c r="I254" s="708"/>
      <c r="J254" s="130"/>
      <c r="K254" s="130"/>
    </row>
    <row r="255" spans="1:14" ht="15" customHeight="1">
      <c r="A255" s="130"/>
      <c r="B255" s="352" t="s">
        <v>69</v>
      </c>
      <c r="C255" s="345" t="s">
        <v>428</v>
      </c>
      <c r="D255" s="346" t="s">
        <v>326</v>
      </c>
      <c r="E255" s="774"/>
      <c r="F255" s="774"/>
      <c r="G255" s="704"/>
      <c r="H255" s="707"/>
      <c r="I255" s="708"/>
      <c r="J255" s="130"/>
      <c r="K255" s="130"/>
    </row>
    <row r="256" spans="1:14" ht="15" customHeight="1">
      <c r="A256" s="130"/>
      <c r="B256" s="352" t="s">
        <v>116</v>
      </c>
      <c r="C256" s="345" t="s">
        <v>449</v>
      </c>
      <c r="D256" s="346" t="s">
        <v>326</v>
      </c>
      <c r="E256" s="785"/>
      <c r="F256" s="785"/>
      <c r="G256" s="704"/>
      <c r="H256" s="707"/>
      <c r="I256" s="708"/>
      <c r="J256" s="299"/>
      <c r="K256" s="130"/>
    </row>
    <row r="257" spans="1:11" ht="15" customHeight="1">
      <c r="A257" s="130"/>
      <c r="B257" s="380" t="s">
        <v>117</v>
      </c>
      <c r="C257" s="165" t="s">
        <v>929</v>
      </c>
      <c r="D257" s="346" t="s">
        <v>326</v>
      </c>
      <c r="E257" s="788"/>
      <c r="F257" s="788"/>
      <c r="G257" s="781"/>
      <c r="H257" s="782"/>
      <c r="I257" s="783"/>
      <c r="J257" s="299"/>
      <c r="K257" s="130"/>
    </row>
    <row r="258" spans="1:11" ht="15" customHeight="1">
      <c r="A258" s="130"/>
      <c r="B258" s="380" t="s">
        <v>478</v>
      </c>
      <c r="C258" s="345" t="s">
        <v>432</v>
      </c>
      <c r="D258" s="346" t="s">
        <v>326</v>
      </c>
      <c r="E258" s="764"/>
      <c r="F258" s="764"/>
      <c r="G258" s="704"/>
      <c r="H258" s="704"/>
      <c r="I258" s="708"/>
      <c r="J258" s="299"/>
      <c r="K258" s="130"/>
    </row>
    <row r="259" spans="1:11" ht="15" customHeight="1">
      <c r="A259" s="130"/>
      <c r="B259" s="352" t="s">
        <v>479</v>
      </c>
      <c r="C259" s="345" t="s">
        <v>480</v>
      </c>
      <c r="D259" s="346" t="s">
        <v>326</v>
      </c>
      <c r="E259" s="774"/>
      <c r="F259" s="774"/>
      <c r="G259" s="704"/>
      <c r="H259" s="707"/>
      <c r="I259" s="708"/>
      <c r="J259" s="299"/>
      <c r="K259" s="130"/>
    </row>
    <row r="260" spans="1:11" ht="17.25" customHeight="1">
      <c r="A260" s="130"/>
      <c r="B260" s="381" t="s">
        <v>481</v>
      </c>
      <c r="C260" s="345" t="s">
        <v>436</v>
      </c>
      <c r="D260" s="346" t="s">
        <v>326</v>
      </c>
      <c r="E260" s="785"/>
      <c r="F260" s="785"/>
      <c r="G260" s="704"/>
      <c r="H260" s="704"/>
      <c r="I260" s="767"/>
      <c r="J260" s="299"/>
      <c r="K260" s="130"/>
    </row>
    <row r="261" spans="1:11" ht="18" customHeight="1">
      <c r="A261" s="130"/>
      <c r="B261" s="437" t="s">
        <v>482</v>
      </c>
      <c r="C261" s="443" t="s">
        <v>994</v>
      </c>
      <c r="D261" s="444" t="s">
        <v>360</v>
      </c>
      <c r="E261" s="674">
        <f>((E243*E245*10^5)+(E252*E256*10^3))/10^7</f>
        <v>0</v>
      </c>
      <c r="F261" s="674">
        <f t="shared" ref="F261:I261" si="23">((F243*F245*10^5)+(F252*F256*10^3))/10^7</f>
        <v>0</v>
      </c>
      <c r="G261" s="674">
        <f t="shared" si="23"/>
        <v>0</v>
      </c>
      <c r="H261" s="674">
        <f t="shared" si="23"/>
        <v>0</v>
      </c>
      <c r="I261" s="674">
        <f t="shared" si="23"/>
        <v>0</v>
      </c>
      <c r="J261" s="130"/>
      <c r="K261" s="130"/>
    </row>
    <row r="262" spans="1:11" ht="18" customHeight="1">
      <c r="A262" s="130"/>
      <c r="B262" s="447" t="s">
        <v>993</v>
      </c>
      <c r="C262" s="440" t="s">
        <v>483</v>
      </c>
      <c r="D262" s="441" t="s">
        <v>360</v>
      </c>
      <c r="E262" s="448">
        <f>((E244*E246*10^5)+(E253*E257*10^3))/10^7</f>
        <v>0</v>
      </c>
      <c r="F262" s="448">
        <f>((F244*F246*10^5)+(F253*F257*10^3))/10^7</f>
        <v>0</v>
      </c>
      <c r="G262" s="448">
        <f>((G244*G246*10^5)+(G253*G257*10^3))/10^7</f>
        <v>0</v>
      </c>
      <c r="H262" s="448">
        <f>((H244*H246*10^5)+(H253*H257*10^3))/10^7</f>
        <v>0</v>
      </c>
      <c r="I262" s="449">
        <f>((I244*I246*10^5)+(I253*I257*10^3))/10^7</f>
        <v>0</v>
      </c>
      <c r="J262" s="130"/>
      <c r="K262" s="130"/>
    </row>
    <row r="263" spans="1:11" ht="15" customHeight="1">
      <c r="A263" s="130"/>
      <c r="B263" s="321" t="s">
        <v>484</v>
      </c>
      <c r="C263" s="322" t="s">
        <v>485</v>
      </c>
      <c r="D263" s="310"/>
      <c r="E263" s="310"/>
      <c r="F263" s="310"/>
      <c r="G263" s="310"/>
      <c r="H263" s="326"/>
      <c r="I263" s="327"/>
      <c r="J263" s="130"/>
      <c r="K263" s="167"/>
    </row>
    <row r="264" spans="1:11" ht="15" customHeight="1">
      <c r="A264" s="130"/>
      <c r="B264" s="311" t="s">
        <v>486</v>
      </c>
      <c r="C264" s="312" t="s">
        <v>487</v>
      </c>
      <c r="D264" s="62"/>
      <c r="E264" s="62"/>
      <c r="F264" s="62"/>
      <c r="G264" s="62"/>
      <c r="H264" s="302"/>
      <c r="I264" s="63"/>
      <c r="J264" s="130"/>
      <c r="K264" s="130"/>
    </row>
    <row r="265" spans="1:11" ht="15" customHeight="1">
      <c r="A265" s="130"/>
      <c r="B265" s="352" t="s">
        <v>44</v>
      </c>
      <c r="C265" s="345" t="s">
        <v>488</v>
      </c>
      <c r="D265" s="346"/>
      <c r="E265" s="774"/>
      <c r="F265" s="774"/>
      <c r="G265" s="764"/>
      <c r="H265" s="707"/>
      <c r="I265" s="708"/>
      <c r="J265" s="130"/>
      <c r="K265" s="130"/>
    </row>
    <row r="266" spans="1:11" ht="15" customHeight="1">
      <c r="A266" s="130"/>
      <c r="B266" s="352" t="s">
        <v>45</v>
      </c>
      <c r="C266" s="345" t="s">
        <v>428</v>
      </c>
      <c r="D266" s="346" t="s">
        <v>326</v>
      </c>
      <c r="E266" s="774"/>
      <c r="F266" s="774"/>
      <c r="G266" s="764"/>
      <c r="H266" s="707"/>
      <c r="I266" s="708"/>
      <c r="J266" s="130"/>
      <c r="K266" s="130"/>
    </row>
    <row r="267" spans="1:11" ht="15" customHeight="1">
      <c r="A267" s="130"/>
      <c r="B267" s="352" t="s">
        <v>69</v>
      </c>
      <c r="C267" s="345" t="s">
        <v>447</v>
      </c>
      <c r="D267" s="346" t="s">
        <v>381</v>
      </c>
      <c r="E267" s="774"/>
      <c r="F267" s="774"/>
      <c r="G267" s="764"/>
      <c r="H267" s="707"/>
      <c r="I267" s="708"/>
      <c r="J267" s="130"/>
      <c r="K267" s="130"/>
    </row>
    <row r="268" spans="1:11" ht="15" customHeight="1">
      <c r="A268" s="130"/>
      <c r="B268" s="352" t="s">
        <v>116</v>
      </c>
      <c r="C268" s="345" t="s">
        <v>448</v>
      </c>
      <c r="D268" s="346" t="s">
        <v>381</v>
      </c>
      <c r="E268" s="774"/>
      <c r="F268" s="774"/>
      <c r="G268" s="764"/>
      <c r="H268" s="707"/>
      <c r="I268" s="708"/>
      <c r="J268" s="130"/>
      <c r="K268" s="130"/>
    </row>
    <row r="269" spans="1:11" ht="15" customHeight="1">
      <c r="A269" s="130"/>
      <c r="B269" s="380" t="s">
        <v>117</v>
      </c>
      <c r="C269" s="345" t="s">
        <v>489</v>
      </c>
      <c r="D269" s="346" t="s">
        <v>326</v>
      </c>
      <c r="E269" s="774"/>
      <c r="F269" s="774"/>
      <c r="G269" s="764"/>
      <c r="H269" s="707"/>
      <c r="I269" s="708"/>
      <c r="J269" s="130"/>
      <c r="K269" s="130"/>
    </row>
    <row r="270" spans="1:11" ht="15" customHeight="1">
      <c r="A270" s="130"/>
      <c r="B270" s="380" t="s">
        <v>373</v>
      </c>
      <c r="C270" s="345" t="s">
        <v>490</v>
      </c>
      <c r="D270" s="346" t="s">
        <v>326</v>
      </c>
      <c r="E270" s="774"/>
      <c r="F270" s="774"/>
      <c r="G270" s="764"/>
      <c r="H270" s="707"/>
      <c r="I270" s="708"/>
      <c r="J270" s="130"/>
      <c r="K270" s="130"/>
    </row>
    <row r="271" spans="1:11" ht="15" customHeight="1">
      <c r="A271" s="130"/>
      <c r="B271" s="343" t="s">
        <v>491</v>
      </c>
      <c r="C271" s="382" t="s">
        <v>492</v>
      </c>
      <c r="D271" s="346"/>
      <c r="E271" s="758"/>
      <c r="F271" s="758"/>
      <c r="G271" s="758"/>
      <c r="H271" s="701"/>
      <c r="I271" s="702"/>
      <c r="J271" s="130"/>
      <c r="K271" s="130"/>
    </row>
    <row r="272" spans="1:11" ht="15" customHeight="1">
      <c r="A272" s="130"/>
      <c r="B272" s="352" t="s">
        <v>44</v>
      </c>
      <c r="C272" s="345" t="s">
        <v>493</v>
      </c>
      <c r="D272" s="346"/>
      <c r="E272" s="774"/>
      <c r="F272" s="774"/>
      <c r="G272" s="764"/>
      <c r="H272" s="707"/>
      <c r="I272" s="708"/>
      <c r="J272" s="130"/>
      <c r="K272" s="130"/>
    </row>
    <row r="273" spans="1:11" ht="15" customHeight="1">
      <c r="A273" s="130"/>
      <c r="B273" s="352" t="s">
        <v>45</v>
      </c>
      <c r="C273" s="345" t="s">
        <v>428</v>
      </c>
      <c r="D273" s="346" t="s">
        <v>384</v>
      </c>
      <c r="E273" s="774"/>
      <c r="F273" s="774"/>
      <c r="G273" s="764"/>
      <c r="H273" s="707"/>
      <c r="I273" s="708"/>
      <c r="J273" s="130"/>
      <c r="K273" s="130"/>
    </row>
    <row r="274" spans="1:11" ht="15" customHeight="1">
      <c r="A274" s="130"/>
      <c r="B274" s="352" t="s">
        <v>69</v>
      </c>
      <c r="C274" s="345" t="s">
        <v>447</v>
      </c>
      <c r="D274" s="346" t="s">
        <v>381</v>
      </c>
      <c r="E274" s="774"/>
      <c r="F274" s="774"/>
      <c r="G274" s="764"/>
      <c r="H274" s="707"/>
      <c r="I274" s="708"/>
      <c r="J274" s="130"/>
      <c r="K274" s="130"/>
    </row>
    <row r="275" spans="1:11" ht="15" customHeight="1">
      <c r="A275" s="130"/>
      <c r="B275" s="352" t="s">
        <v>116</v>
      </c>
      <c r="C275" s="345" t="s">
        <v>448</v>
      </c>
      <c r="D275" s="346" t="s">
        <v>381</v>
      </c>
      <c r="E275" s="774"/>
      <c r="F275" s="774"/>
      <c r="G275" s="764"/>
      <c r="H275" s="707"/>
      <c r="I275" s="708"/>
      <c r="J275" s="130"/>
      <c r="K275" s="130"/>
    </row>
    <row r="276" spans="1:11" ht="15" customHeight="1">
      <c r="A276" s="130"/>
      <c r="B276" s="380" t="s">
        <v>117</v>
      </c>
      <c r="C276" s="345" t="s">
        <v>458</v>
      </c>
      <c r="D276" s="346" t="s">
        <v>386</v>
      </c>
      <c r="E276" s="774"/>
      <c r="F276" s="774"/>
      <c r="G276" s="764"/>
      <c r="H276" s="707"/>
      <c r="I276" s="708"/>
      <c r="J276" s="130"/>
      <c r="K276" s="130"/>
    </row>
    <row r="277" spans="1:11" ht="15" customHeight="1">
      <c r="A277" s="130"/>
      <c r="B277" s="380" t="s">
        <v>373</v>
      </c>
      <c r="C277" s="345" t="s">
        <v>489</v>
      </c>
      <c r="D277" s="346" t="s">
        <v>384</v>
      </c>
      <c r="E277" s="774"/>
      <c r="F277" s="774"/>
      <c r="G277" s="764"/>
      <c r="H277" s="707"/>
      <c r="I277" s="708"/>
      <c r="J277" s="130"/>
      <c r="K277" s="130"/>
    </row>
    <row r="278" spans="1:11" ht="15" customHeight="1">
      <c r="A278" s="130"/>
      <c r="B278" s="380" t="s">
        <v>373</v>
      </c>
      <c r="C278" s="345" t="s">
        <v>490</v>
      </c>
      <c r="D278" s="346" t="s">
        <v>384</v>
      </c>
      <c r="E278" s="774"/>
      <c r="F278" s="774"/>
      <c r="G278" s="764"/>
      <c r="H278" s="707"/>
      <c r="I278" s="708"/>
      <c r="J278" s="130"/>
      <c r="K278" s="130"/>
    </row>
    <row r="279" spans="1:11" ht="15" customHeight="1">
      <c r="A279" s="130"/>
      <c r="B279" s="343" t="s">
        <v>494</v>
      </c>
      <c r="C279" s="382" t="s">
        <v>495</v>
      </c>
      <c r="D279" s="346"/>
      <c r="E279" s="758"/>
      <c r="F279" s="758"/>
      <c r="G279" s="758"/>
      <c r="H279" s="701"/>
      <c r="I279" s="702"/>
      <c r="J279" s="130"/>
      <c r="K279" s="130"/>
    </row>
    <row r="280" spans="1:11" ht="15" customHeight="1">
      <c r="A280" s="130"/>
      <c r="B280" s="352" t="s">
        <v>44</v>
      </c>
      <c r="C280" s="345" t="s">
        <v>496</v>
      </c>
      <c r="D280" s="346"/>
      <c r="E280" s="774"/>
      <c r="F280" s="774"/>
      <c r="G280" s="764"/>
      <c r="H280" s="707"/>
      <c r="I280" s="708"/>
      <c r="J280" s="130"/>
      <c r="K280" s="130"/>
    </row>
    <row r="281" spans="1:11" ht="15" customHeight="1">
      <c r="A281" s="130"/>
      <c r="B281" s="352" t="s">
        <v>45</v>
      </c>
      <c r="C281" s="345" t="s">
        <v>428</v>
      </c>
      <c r="D281" s="346" t="s">
        <v>410</v>
      </c>
      <c r="E281" s="774"/>
      <c r="F281" s="774"/>
      <c r="G281" s="764"/>
      <c r="H281" s="707"/>
      <c r="I281" s="708"/>
      <c r="J281" s="130"/>
      <c r="K281" s="130"/>
    </row>
    <row r="282" spans="1:11" ht="15" customHeight="1">
      <c r="A282" s="130"/>
      <c r="B282" s="352" t="s">
        <v>69</v>
      </c>
      <c r="C282" s="345" t="s">
        <v>467</v>
      </c>
      <c r="D282" s="346" t="s">
        <v>468</v>
      </c>
      <c r="E282" s="774"/>
      <c r="F282" s="774"/>
      <c r="G282" s="764"/>
      <c r="H282" s="707"/>
      <c r="I282" s="708"/>
      <c r="J282" s="130"/>
      <c r="K282" s="130"/>
    </row>
    <row r="283" spans="1:11" ht="15" customHeight="1">
      <c r="A283" s="130"/>
      <c r="B283" s="352" t="s">
        <v>116</v>
      </c>
      <c r="C283" s="345" t="s">
        <v>448</v>
      </c>
      <c r="D283" s="346" t="s">
        <v>468</v>
      </c>
      <c r="E283" s="774"/>
      <c r="F283" s="774"/>
      <c r="G283" s="764"/>
      <c r="H283" s="707"/>
      <c r="I283" s="708"/>
      <c r="J283" s="130"/>
      <c r="K283" s="130"/>
    </row>
    <row r="284" spans="1:11" ht="15" customHeight="1">
      <c r="A284" s="130"/>
      <c r="B284" s="380" t="s">
        <v>117</v>
      </c>
      <c r="C284" s="345" t="s">
        <v>489</v>
      </c>
      <c r="D284" s="346" t="s">
        <v>410</v>
      </c>
      <c r="E284" s="774"/>
      <c r="F284" s="774"/>
      <c r="G284" s="764"/>
      <c r="H284" s="707"/>
      <c r="I284" s="708"/>
      <c r="J284" s="130"/>
      <c r="K284" s="130"/>
    </row>
    <row r="285" spans="1:11" ht="15" customHeight="1">
      <c r="A285" s="130"/>
      <c r="B285" s="380" t="s">
        <v>373</v>
      </c>
      <c r="C285" s="345" t="s">
        <v>490</v>
      </c>
      <c r="D285" s="346" t="s">
        <v>410</v>
      </c>
      <c r="E285" s="774"/>
      <c r="F285" s="774"/>
      <c r="G285" s="764"/>
      <c r="H285" s="707"/>
      <c r="I285" s="708"/>
      <c r="J285" s="130"/>
      <c r="K285" s="130"/>
    </row>
    <row r="286" spans="1:11" ht="15" customHeight="1">
      <c r="A286" s="130"/>
      <c r="B286" s="383" t="s">
        <v>497</v>
      </c>
      <c r="C286" s="382" t="s">
        <v>457</v>
      </c>
      <c r="D286" s="346"/>
      <c r="E286" s="758"/>
      <c r="F286" s="758"/>
      <c r="G286" s="758"/>
      <c r="H286" s="701"/>
      <c r="I286" s="702"/>
      <c r="J286" s="130"/>
      <c r="K286" s="130"/>
    </row>
    <row r="287" spans="1:11" ht="15" customHeight="1">
      <c r="A287" s="130"/>
      <c r="B287" s="352" t="s">
        <v>44</v>
      </c>
      <c r="C287" s="345" t="s">
        <v>498</v>
      </c>
      <c r="D287" s="346"/>
      <c r="E287" s="774"/>
      <c r="F287" s="774"/>
      <c r="G287" s="764"/>
      <c r="H287" s="707"/>
      <c r="I287" s="708"/>
      <c r="J287" s="130"/>
      <c r="K287" s="130"/>
    </row>
    <row r="288" spans="1:11" ht="15" customHeight="1">
      <c r="A288" s="130"/>
      <c r="B288" s="352" t="s">
        <v>45</v>
      </c>
      <c r="C288" s="345" t="s">
        <v>499</v>
      </c>
      <c r="D288" s="346"/>
      <c r="E288" s="774"/>
      <c r="F288" s="774"/>
      <c r="G288" s="764"/>
      <c r="H288" s="707"/>
      <c r="I288" s="708"/>
      <c r="J288" s="130"/>
      <c r="K288" s="130"/>
    </row>
    <row r="289" spans="1:11" ht="15" customHeight="1">
      <c r="A289" s="130"/>
      <c r="B289" s="352" t="s">
        <v>69</v>
      </c>
      <c r="C289" s="345" t="s">
        <v>428</v>
      </c>
      <c r="D289" s="346" t="s">
        <v>326</v>
      </c>
      <c r="E289" s="774"/>
      <c r="F289" s="774"/>
      <c r="G289" s="764"/>
      <c r="H289" s="707"/>
      <c r="I289" s="708"/>
      <c r="J289" s="130"/>
      <c r="K289" s="130"/>
    </row>
    <row r="290" spans="1:11" ht="15" customHeight="1">
      <c r="A290" s="130"/>
      <c r="B290" s="352" t="s">
        <v>116</v>
      </c>
      <c r="C290" s="345" t="s">
        <v>500</v>
      </c>
      <c r="D290" s="346" t="s">
        <v>381</v>
      </c>
      <c r="E290" s="774"/>
      <c r="F290" s="774"/>
      <c r="G290" s="764"/>
      <c r="H290" s="707"/>
      <c r="I290" s="708"/>
      <c r="J290" s="130"/>
      <c r="K290" s="130"/>
    </row>
    <row r="291" spans="1:11" ht="15" customHeight="1">
      <c r="A291" s="130"/>
      <c r="B291" s="380" t="s">
        <v>117</v>
      </c>
      <c r="C291" s="345" t="s">
        <v>448</v>
      </c>
      <c r="D291" s="346" t="s">
        <v>381</v>
      </c>
      <c r="E291" s="774"/>
      <c r="F291" s="774"/>
      <c r="G291" s="764"/>
      <c r="H291" s="707"/>
      <c r="I291" s="708"/>
      <c r="J291" s="130"/>
      <c r="K291" s="130"/>
    </row>
    <row r="292" spans="1:11" ht="15" customHeight="1">
      <c r="A292" s="130"/>
      <c r="B292" s="380" t="s">
        <v>373</v>
      </c>
      <c r="C292" s="345" t="s">
        <v>450</v>
      </c>
      <c r="D292" s="346" t="s">
        <v>386</v>
      </c>
      <c r="E292" s="774"/>
      <c r="F292" s="774"/>
      <c r="G292" s="764"/>
      <c r="H292" s="707"/>
      <c r="I292" s="708"/>
      <c r="J292" s="130"/>
      <c r="K292" s="130"/>
    </row>
    <row r="293" spans="1:11" ht="15" customHeight="1">
      <c r="A293" s="130"/>
      <c r="B293" s="352" t="s">
        <v>376</v>
      </c>
      <c r="C293" s="345" t="s">
        <v>489</v>
      </c>
      <c r="D293" s="346" t="s">
        <v>326</v>
      </c>
      <c r="E293" s="774"/>
      <c r="F293" s="774"/>
      <c r="G293" s="764"/>
      <c r="H293" s="707"/>
      <c r="I293" s="708"/>
      <c r="J293" s="130"/>
      <c r="K293" s="130"/>
    </row>
    <row r="294" spans="1:11" ht="15" customHeight="1">
      <c r="A294" s="130"/>
      <c r="B294" s="352" t="s">
        <v>411</v>
      </c>
      <c r="C294" s="345" t="s">
        <v>490</v>
      </c>
      <c r="D294" s="346" t="s">
        <v>326</v>
      </c>
      <c r="E294" s="774"/>
      <c r="F294" s="774"/>
      <c r="G294" s="764"/>
      <c r="H294" s="707"/>
      <c r="I294" s="708"/>
      <c r="J294" s="130"/>
      <c r="K294" s="130"/>
    </row>
    <row r="295" spans="1:11" ht="15" customHeight="1">
      <c r="A295" s="130"/>
      <c r="B295" s="352" t="s">
        <v>505</v>
      </c>
      <c r="C295" s="345" t="s">
        <v>501</v>
      </c>
      <c r="D295" s="346" t="s">
        <v>353</v>
      </c>
      <c r="E295" s="774"/>
      <c r="F295" s="774"/>
      <c r="G295" s="764"/>
      <c r="H295" s="707"/>
      <c r="I295" s="708"/>
      <c r="J295" s="130"/>
      <c r="K295" s="130"/>
    </row>
    <row r="296" spans="1:11" ht="27.75" customHeight="1">
      <c r="A296" s="130"/>
      <c r="B296" s="160" t="s">
        <v>502</v>
      </c>
      <c r="C296" s="165" t="s">
        <v>503</v>
      </c>
      <c r="D296" s="166" t="s">
        <v>360</v>
      </c>
      <c r="E296" s="384">
        <f>(E268*E270*10^3+E275*E278*E276*10^3+E283*E285*10^5+E291*E294*10^3)/10^7</f>
        <v>0</v>
      </c>
      <c r="F296" s="384">
        <f t="shared" ref="F296:I296" si="24">(F268*F270*10^3+F275*F278*F276*10^3+F283*F285*10^5+F291*F294*10^3)/10^7</f>
        <v>0</v>
      </c>
      <c r="G296" s="384">
        <f t="shared" si="24"/>
        <v>0</v>
      </c>
      <c r="H296" s="384">
        <f t="shared" si="24"/>
        <v>0</v>
      </c>
      <c r="I296" s="390">
        <f t="shared" si="24"/>
        <v>0</v>
      </c>
      <c r="J296" s="130"/>
      <c r="K296" s="140"/>
    </row>
    <row r="297" spans="1:11" ht="27.75" customHeight="1" thickBot="1">
      <c r="A297" s="130"/>
      <c r="B297" s="391" t="s">
        <v>745</v>
      </c>
      <c r="C297" s="392" t="s">
        <v>831</v>
      </c>
      <c r="D297" s="393" t="s">
        <v>351</v>
      </c>
      <c r="E297" s="789"/>
      <c r="F297" s="789"/>
      <c r="G297" s="790"/>
      <c r="H297" s="790"/>
      <c r="I297" s="791"/>
      <c r="J297" s="130"/>
      <c r="K297" s="140"/>
    </row>
    <row r="298" spans="1:11" ht="15" customHeight="1">
      <c r="B298" s="1373" t="s">
        <v>675</v>
      </c>
      <c r="C298" s="1373"/>
      <c r="D298" s="1373"/>
      <c r="E298" s="1373"/>
      <c r="F298" s="1373"/>
      <c r="G298" s="1373"/>
      <c r="H298" s="1373"/>
      <c r="I298" s="1373"/>
    </row>
    <row r="299" spans="1:11" ht="15" customHeight="1">
      <c r="B299" s="1373"/>
      <c r="C299" s="1373"/>
      <c r="D299" s="1373"/>
      <c r="E299" s="1373"/>
      <c r="F299" s="1373"/>
      <c r="G299" s="1373"/>
      <c r="H299" s="1373"/>
      <c r="I299" s="1373"/>
    </row>
    <row r="300" spans="1:11" ht="15" customHeight="1">
      <c r="B300" s="1373"/>
      <c r="C300" s="1373"/>
      <c r="D300" s="1373"/>
      <c r="E300" s="1373"/>
      <c r="F300" s="1373"/>
      <c r="G300" s="1373"/>
      <c r="H300" s="1373"/>
      <c r="I300" s="1373"/>
    </row>
    <row r="301" spans="1:11" ht="15" customHeight="1">
      <c r="B301" s="1373"/>
      <c r="C301" s="1373"/>
      <c r="D301" s="1373"/>
      <c r="E301" s="1373"/>
      <c r="F301" s="1373"/>
      <c r="G301" s="1373"/>
      <c r="H301" s="1373"/>
      <c r="I301" s="1373"/>
    </row>
    <row r="302" spans="1:11" ht="3.75" hidden="1" customHeight="1">
      <c r="B302" s="1373"/>
      <c r="C302" s="1373"/>
      <c r="D302" s="1373"/>
      <c r="E302" s="1373"/>
      <c r="F302" s="1373"/>
      <c r="G302" s="1373"/>
      <c r="H302" s="1373"/>
      <c r="I302" s="1373"/>
    </row>
    <row r="303" spans="1:11" ht="3.75" hidden="1" customHeight="1">
      <c r="B303" s="792"/>
      <c r="C303" s="793"/>
      <c r="D303" s="794"/>
      <c r="E303" s="792"/>
      <c r="F303" s="794"/>
      <c r="G303" s="738"/>
      <c r="H303" s="738"/>
      <c r="I303" s="738"/>
    </row>
    <row r="304" spans="1:11" ht="15" customHeight="1">
      <c r="B304" s="792"/>
      <c r="C304" s="793"/>
      <c r="D304" s="794"/>
      <c r="E304" s="738"/>
      <c r="F304" s="793"/>
      <c r="G304" s="1379" t="s">
        <v>678</v>
      </c>
      <c r="H304" s="1379"/>
      <c r="I304" s="1379"/>
    </row>
    <row r="305" spans="2:9" ht="15" customHeight="1">
      <c r="B305" s="1370" t="s">
        <v>676</v>
      </c>
      <c r="C305" s="1370"/>
      <c r="D305" s="794"/>
      <c r="E305" s="792"/>
      <c r="F305" s="794"/>
      <c r="G305" s="738"/>
      <c r="H305" s="738"/>
      <c r="I305" s="738"/>
    </row>
    <row r="306" spans="2:9" ht="15" customHeight="1">
      <c r="B306" s="792"/>
      <c r="C306" s="795"/>
      <c r="D306" s="794"/>
      <c r="E306" s="792"/>
      <c r="F306" s="794"/>
      <c r="G306" s="738"/>
      <c r="H306" s="738"/>
      <c r="I306" s="738"/>
    </row>
    <row r="307" spans="2:9" ht="15" customHeight="1">
      <c r="B307" s="1370" t="s">
        <v>677</v>
      </c>
      <c r="C307" s="1370"/>
      <c r="D307" s="794"/>
      <c r="E307" s="792"/>
      <c r="F307" s="794"/>
      <c r="G307" s="738"/>
      <c r="H307" s="738"/>
      <c r="I307" s="738"/>
    </row>
    <row r="308" spans="2:9" ht="15" customHeight="1">
      <c r="B308" s="796"/>
      <c r="C308" s="797"/>
      <c r="D308" s="797"/>
      <c r="E308" s="796"/>
      <c r="F308" s="797"/>
      <c r="G308" s="738"/>
      <c r="H308" s="738"/>
      <c r="I308" s="738"/>
    </row>
  </sheetData>
  <sheetProtection password="CC60" sheet="1" objects="1" scenarios="1"/>
  <customSheetViews>
    <customSheetView guid="{5D90FF31-AD5C-4A69-A320-8978B095DFD4}" topLeftCell="A87">
      <selection activeCell="I71" sqref="I71"/>
      <pageMargins left="0.7" right="0.7" top="0.75" bottom="0.75" header="0.3" footer="0.3"/>
      <pageSetup orientation="portrait" verticalDpi="0" r:id="rId1"/>
    </customSheetView>
  </customSheetViews>
  <mergeCells count="8">
    <mergeCell ref="D4:I4"/>
    <mergeCell ref="B307:C307"/>
    <mergeCell ref="C166:D166"/>
    <mergeCell ref="B298:I302"/>
    <mergeCell ref="E18:I18"/>
    <mergeCell ref="F6:G6"/>
    <mergeCell ref="G304:I304"/>
    <mergeCell ref="B305:C305"/>
  </mergeCells>
  <conditionalFormatting sqref="G9:I9 G28:I28 G297:I297 G48:I50 G30:I31 G33:I36 G38:I41 G43:I46 G80:I97 G263:I295 G19:I19 G51:H51 G168:H168 C106:D106 C191:D192 C128:D128 C130:D130 K61 G240:H260 I240:I243 I245 G169:I190 G11:I11 G15:I15 G16:H16 G22:I23 G24:H24 G65:I65 I249:I257 K250:N250 I259 G12:H14 G20:H21 G62:H62 I62:I63 G53:I61 E61:F61 E29:I29 C238:D239 E83:F87 E91:F93 E95:F97 C131:F131 E110:F116 E119:F121 E170:F190 E123:F130 E37:I37 E42:I42 E47:I47 E52:I52 E67:I79 E98:I107 G108:I131 G166:I167 E193:I237 C262:I262 J128 J131 E25:K25 E32:I32">
    <cfRule type="cellIs" dxfId="29" priority="123" operator="equal">
      <formula>"NA"</formula>
    </cfRule>
    <cfRule type="cellIs" dxfId="28" priority="124" operator="equal">
      <formula>"NA"</formula>
    </cfRule>
  </conditionalFormatting>
  <conditionalFormatting sqref="E134:G136">
    <cfRule type="cellIs" dxfId="27" priority="31" operator="equal">
      <formula>"NA"</formula>
    </cfRule>
    <cfRule type="cellIs" dxfId="26" priority="32" operator="equal">
      <formula>"NA"</formula>
    </cfRule>
  </conditionalFormatting>
  <conditionalFormatting sqref="H132:I133 H146:I147 H153:I153 H160:I160 H137:I138">
    <cfRule type="cellIs" dxfId="25" priority="29" operator="equal">
      <formula>"NA"</formula>
    </cfRule>
    <cfRule type="cellIs" dxfId="24" priority="30" operator="equal">
      <formula>"NA"</formula>
    </cfRule>
  </conditionalFormatting>
  <conditionalFormatting sqref="H139:I144">
    <cfRule type="cellIs" dxfId="23" priority="27" operator="equal">
      <formula>"NA"</formula>
    </cfRule>
    <cfRule type="cellIs" dxfId="22" priority="28" operator="equal">
      <formula>"NA"</formula>
    </cfRule>
  </conditionalFormatting>
  <conditionalFormatting sqref="I151 H148:H151">
    <cfRule type="cellIs" dxfId="21" priority="21" operator="equal">
      <formula>"NA"</formula>
    </cfRule>
    <cfRule type="cellIs" dxfId="20" priority="22" operator="equal">
      <formula>"NA"</formula>
    </cfRule>
  </conditionalFormatting>
  <conditionalFormatting sqref="H134:I136">
    <cfRule type="cellIs" dxfId="19" priority="23" operator="equal">
      <formula>"NA"</formula>
    </cfRule>
    <cfRule type="cellIs" dxfId="18" priority="24" operator="equal">
      <formula>"NA"</formula>
    </cfRule>
  </conditionalFormatting>
  <conditionalFormatting sqref="H154:H157 I157">
    <cfRule type="cellIs" dxfId="17" priority="19" operator="equal">
      <formula>"NA"</formula>
    </cfRule>
    <cfRule type="cellIs" dxfId="16" priority="20" operator="equal">
      <formula>"NA"</formula>
    </cfRule>
  </conditionalFormatting>
  <conditionalFormatting sqref="E191:I192">
    <cfRule type="cellIs" dxfId="15" priority="7" operator="equal">
      <formula>"NA"</formula>
    </cfRule>
    <cfRule type="cellIs" dxfId="14" priority="8" operator="equal">
      <formula>"NA"</formula>
    </cfRule>
  </conditionalFormatting>
  <conditionalFormatting sqref="E238:I239">
    <cfRule type="cellIs" dxfId="13" priority="5" operator="equal">
      <formula>"NA"</formula>
    </cfRule>
    <cfRule type="cellIs" dxfId="12" priority="6" operator="equal">
      <formula>"NA"</formula>
    </cfRule>
  </conditionalFormatting>
  <conditionalFormatting sqref="C261:D261">
    <cfRule type="cellIs" dxfId="11" priority="3" operator="equal">
      <formula>"NA"</formula>
    </cfRule>
    <cfRule type="cellIs" dxfId="10" priority="4" operator="equal">
      <formula>"NA"</formula>
    </cfRule>
  </conditionalFormatting>
  <conditionalFormatting sqref="E261:I261">
    <cfRule type="cellIs" dxfId="9" priority="1" operator="equal">
      <formula>"NA"</formula>
    </cfRule>
    <cfRule type="cellIs" dxfId="8" priority="2" operator="equal">
      <formula>"NA"</formula>
    </cfRule>
  </conditionalFormatting>
  <dataValidations xWindow="543" yWindow="311" count="13">
    <dataValidation type="decimal" allowBlank="1" showInputMessage="1" showErrorMessage="1" error="Capacity Utilization should be between 0 and 200%" sqref="G50:I50 G51:H51">
      <formula1>0</formula1>
      <formula2>G49*2</formula2>
    </dataValidation>
    <dataValidation type="decimal" operator="greaterThanOrEqual" allowBlank="1" showInputMessage="1" showErrorMessage="1" error="Entor Positive values" sqref="I169 G166:H169 G251:I251 G108:I111 G180:I180 I61:I66 G279:I279 G48:I49 G11:I11 G43:I43 G19:I19 G28:I28 G33:I33 G38:I38 G85:H88 G216:I216 G205:I205 G286:I286 G271:I271 G227:I227 G8:I9 K61 G297:I297 E106:I107 G74:H77 G117:I118 G122:I122 G53:H60 G62:H67 G83:H83 I94 I166:I167 G113:H116 G263:I264 G78:I82 G72:H72 I53:I56 G69:H70 E61:H61 E238:H239 E78:F79 E112:I112 E84:I84 E68:I68 E110:F111 E128:I130 H132:I132 G193:I194 E191:I192 I238:I242 G240:H242 E261:I262 J128">
      <formula1>0</formula1>
    </dataValidation>
    <dataValidation operator="greaterThanOrEqual" allowBlank="1" showInputMessage="1" showErrorMessage="1" sqref="G280:I280 G272:I272 G287:I287 G265:I265 E123:I123"/>
    <dataValidation operator="greaterThanOrEqual" allowBlank="1" showInputMessage="1" showErrorMessage="1" error="Enter Positive values" sqref="I274:I275 G40:I41 I259 G30:I31 I293:I295 I85:I86 I231 G195:H197 I224:I226 I213:I215 G206:H215 G266:I270 I67 I235:I237 I220 G217:H226 E73:F75 I277:I278 G45:I46 I113:I114 G228:H237 I245 I73:I75 I290:I291 G89:H97 E91:F92 I83 G281:I285 G35:I36 I249:I250 I202:I204 I89:I92 I95:I96 I228:I229 I15:I16 G170:I179 I195:I196 I206:I207 G199:H204 I217:I218 I209 I57:I60 G243:H250 I243 G73:H73 E199:F237 I252:I257 G181:I190 K250:N250 I69:I70 I22:I24 E124:I127 E69:F70 G131:J131 E198:I198 E95:F96 E85:F86 E83:F83 E119:I121 E113:F114 E193:F197 E67:F67 E170:F190 G252:H260 J16 J24"/>
    <dataValidation allowBlank="1" showInputMessage="1" showErrorMessage="1" error="Enter Positive values between 0 and 1" sqref="I292 I210:I212 I221:I223 I232:I234 I87:I88 I199:I201 I77 I71:I72 I115:I116 E115:F116 E71:F72 E87:F87 E77:F77"/>
    <dataValidation type="decimal" operator="greaterThanOrEqual" allowBlank="1" showInputMessage="1" showErrorMessage="1" error="Enter Positive values" prompt="Please select Type of Fuel" sqref="G289:I289 G290:H295">
      <formula1>0</formula1>
    </dataValidation>
    <dataValidation type="decimal" operator="greaterThanOrEqual" allowBlank="1" showInputMessage="1" showErrorMessage="1" error="Enter Positive values" prompt="Please select Unit" sqref="G273:I273 G274:H278">
      <formula1>0</formula1>
    </dataValidation>
    <dataValidation type="decimal" allowBlank="1" showInputMessage="1" showErrorMessage="1" error="Enter Positive values between 0 and 1" sqref="I276">
      <formula1>0</formula1>
      <formula2>2</formula2>
    </dataValidation>
    <dataValidation type="decimal" operator="greaterThanOrEqual" allowBlank="1" showInputMessage="1" showErrorMessage="1" error="Enter Positive values" prompt="Please select the Unit." sqref="I208 E93:F93 I219 I93 I230 I76 I197 I97:I105 E76:F76 E97:F105 G98:H105">
      <formula1>0</formula1>
    </dataValidation>
    <dataValidation showInputMessage="1" showErrorMessage="1" sqref="D197:D198 G39:I39 G34:I34 G44:I44 D200 D208:D209 D230:D231 D235:D237 D211:D215 D233 D219:D220 D93 D76 D202:D204 D97 D222:D226 G12:H16 G20:H24 D272:F273 D277:F278 D288:F288 D280:F280 E29:I29"/>
    <dataValidation operator="greaterThanOrEqual" allowBlank="1" showInputMessage="1" showErrorMessage="1" error="Entor Positive values" sqref="G71:H71 H6"/>
    <dataValidation type="list" operator="greaterThanOrEqual" allowBlank="1" showInputMessage="1" showErrorMessage="1" error="Entor Positive values" sqref="G33:I33 G288:I288 G19:I19 G11:I11 G28:I28">
      <formula1>#REF!</formula1>
    </dataValidation>
    <dataValidation type="decimal" operator="greaterThanOrEqual" allowBlank="1" showInputMessage="1" showErrorMessage="1" error="Enter Positive values" sqref="E133:I144 E146:I151 E153:I157 E159:I160">
      <formula1>0</formula1>
    </dataValidation>
  </dataValidations>
  <pageMargins left="0.11811023622047245" right="0" top="0.15748031496062992" bottom="0.39370078740157483" header="0.31496062992125984" footer="0.31496062992125984"/>
  <pageSetup scale="65" fitToWidth="4" fitToHeight="4"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M89"/>
  <sheetViews>
    <sheetView topLeftCell="A47" zoomScaleNormal="100" zoomScaleSheetLayoutView="100" workbookViewId="0">
      <selection activeCell="F58" sqref="F58"/>
    </sheetView>
  </sheetViews>
  <sheetFormatPr defaultColWidth="9.140625" defaultRowHeight="15"/>
  <cols>
    <col min="1" max="1" width="6.42578125" style="64" customWidth="1"/>
    <col min="2" max="2" width="7.7109375" style="64" customWidth="1"/>
    <col min="3" max="3" width="29.140625" style="64" customWidth="1"/>
    <col min="4" max="4" width="26.140625" style="65" customWidth="1"/>
    <col min="5" max="5" width="12" style="64" customWidth="1"/>
    <col min="6" max="10" width="15.7109375" style="64" customWidth="1"/>
    <col min="11" max="11" width="9.140625" style="64"/>
    <col min="12" max="12" width="16.7109375" style="64" customWidth="1"/>
    <col min="13" max="16384" width="9.140625" style="64"/>
  </cols>
  <sheetData>
    <row r="1" spans="2:12" ht="21">
      <c r="C1" s="168" t="s">
        <v>883</v>
      </c>
    </row>
    <row r="2" spans="2:12" ht="19.5" thickBot="1">
      <c r="C2" s="398" t="s">
        <v>666</v>
      </c>
      <c r="D2" s="178"/>
    </row>
    <row r="3" spans="2:12" ht="15.75" hidden="1" thickBot="1">
      <c r="B3" s="69"/>
      <c r="C3" s="70"/>
    </row>
    <row r="4" spans="2:12" s="207" customFormat="1" ht="47.25" customHeight="1">
      <c r="B4" s="226" t="s">
        <v>320</v>
      </c>
      <c r="C4" s="226" t="s">
        <v>321</v>
      </c>
      <c r="D4" s="399"/>
      <c r="E4" s="226" t="s">
        <v>37</v>
      </c>
      <c r="F4" s="227" t="s">
        <v>931</v>
      </c>
      <c r="G4" s="1377" t="s">
        <v>885</v>
      </c>
      <c r="H4" s="1378"/>
      <c r="I4" s="1278" t="s">
        <v>1024</v>
      </c>
      <c r="J4" s="1279" t="s">
        <v>1027</v>
      </c>
    </row>
    <row r="5" spans="2:12" s="207" customFormat="1" ht="29.25" customHeight="1" thickBot="1">
      <c r="B5" s="400"/>
      <c r="C5" s="400"/>
      <c r="D5" s="399"/>
      <c r="E5" s="400"/>
      <c r="F5" s="227" t="s">
        <v>43</v>
      </c>
      <c r="G5" s="227" t="s">
        <v>886</v>
      </c>
      <c r="H5" s="227" t="s">
        <v>887</v>
      </c>
      <c r="I5" s="1275" t="s">
        <v>1025</v>
      </c>
      <c r="J5" s="1276" t="s">
        <v>1026</v>
      </c>
    </row>
    <row r="6" spans="2:12" hidden="1">
      <c r="B6" s="71"/>
      <c r="C6" s="71"/>
      <c r="D6" s="72"/>
      <c r="E6" s="71"/>
      <c r="F6" s="71"/>
      <c r="G6" s="71"/>
      <c r="H6" s="71"/>
      <c r="I6" s="73"/>
      <c r="J6" s="74"/>
    </row>
    <row r="7" spans="2:12" ht="18.75">
      <c r="B7" s="401" t="s">
        <v>322</v>
      </c>
      <c r="C7" s="402" t="s">
        <v>46</v>
      </c>
      <c r="D7" s="403"/>
      <c r="E7" s="404"/>
      <c r="F7" s="404"/>
      <c r="G7" s="404"/>
      <c r="H7" s="404"/>
      <c r="I7" s="404"/>
      <c r="J7" s="404"/>
      <c r="L7" s="394" t="s">
        <v>891</v>
      </c>
    </row>
    <row r="8" spans="2:12">
      <c r="B8" s="75"/>
      <c r="C8" s="76"/>
      <c r="D8" s="77"/>
      <c r="E8" s="75"/>
      <c r="F8" s="21"/>
      <c r="G8" s="21"/>
      <c r="H8" s="21"/>
      <c r="I8" s="21"/>
      <c r="J8" s="21"/>
      <c r="L8" s="395" t="s">
        <v>889</v>
      </c>
    </row>
    <row r="9" spans="2:12">
      <c r="B9" s="75"/>
      <c r="C9" s="76"/>
      <c r="D9" s="77"/>
      <c r="E9" s="75"/>
      <c r="F9" s="21"/>
      <c r="G9" s="21"/>
      <c r="H9" s="21"/>
      <c r="I9" s="21"/>
      <c r="J9" s="21"/>
      <c r="L9" s="396" t="s">
        <v>890</v>
      </c>
    </row>
    <row r="10" spans="2:12" ht="15.75" thickBot="1">
      <c r="B10" s="75"/>
      <c r="C10" s="76"/>
      <c r="D10" s="77"/>
      <c r="E10" s="75"/>
      <c r="F10" s="308"/>
      <c r="G10" s="308"/>
      <c r="H10" s="308"/>
      <c r="I10" s="308"/>
      <c r="J10" s="21"/>
      <c r="L10" s="397" t="s">
        <v>958</v>
      </c>
    </row>
    <row r="11" spans="2:12">
      <c r="B11" s="75" t="s">
        <v>509</v>
      </c>
      <c r="C11" s="77" t="s">
        <v>510</v>
      </c>
      <c r="D11" s="77" t="s">
        <v>2</v>
      </c>
      <c r="E11" s="75" t="s">
        <v>10</v>
      </c>
      <c r="F11" s="305">
        <f>'Sd_Form 1'!E16</f>
        <v>0</v>
      </c>
      <c r="G11" s="305">
        <f>'Sd_Form 1'!F16</f>
        <v>0</v>
      </c>
      <c r="H11" s="305">
        <f>'Sd_Form 1'!G16</f>
        <v>0</v>
      </c>
      <c r="I11" s="305">
        <f>'Sd_Form 1'!H16</f>
        <v>0</v>
      </c>
      <c r="J11" s="305">
        <f>'Sd_Form 1'!I16</f>
        <v>0</v>
      </c>
    </row>
    <row r="12" spans="2:12">
      <c r="B12" s="78" t="s">
        <v>511</v>
      </c>
      <c r="C12" s="79" t="s">
        <v>512</v>
      </c>
      <c r="D12" s="79"/>
      <c r="E12" s="80" t="s">
        <v>513</v>
      </c>
      <c r="F12" s="703"/>
      <c r="G12" s="703"/>
      <c r="H12" s="703"/>
      <c r="I12" s="704"/>
      <c r="J12" s="704"/>
    </row>
    <row r="13" spans="2:12">
      <c r="B13" s="68" t="s">
        <v>514</v>
      </c>
      <c r="C13" s="81" t="s">
        <v>515</v>
      </c>
      <c r="D13" s="79" t="s">
        <v>516</v>
      </c>
      <c r="E13" s="80" t="s">
        <v>180</v>
      </c>
      <c r="F13" s="757"/>
      <c r="G13" s="757"/>
      <c r="H13" s="757"/>
      <c r="I13" s="704"/>
      <c r="J13" s="704"/>
    </row>
    <row r="14" spans="2:12">
      <c r="B14" s="68" t="s">
        <v>517</v>
      </c>
      <c r="C14" s="82"/>
      <c r="D14" s="79" t="s">
        <v>518</v>
      </c>
      <c r="E14" s="80" t="s">
        <v>180</v>
      </c>
      <c r="F14" s="757"/>
      <c r="G14" s="757"/>
      <c r="H14" s="757"/>
      <c r="I14" s="704"/>
      <c r="J14" s="704"/>
    </row>
    <row r="15" spans="2:12">
      <c r="B15" s="68" t="s">
        <v>519</v>
      </c>
      <c r="C15" s="82"/>
      <c r="D15" s="79" t="s">
        <v>520</v>
      </c>
      <c r="E15" s="80" t="s">
        <v>10</v>
      </c>
      <c r="F15" s="703"/>
      <c r="G15" s="703"/>
      <c r="H15" s="703"/>
      <c r="I15" s="704"/>
      <c r="J15" s="704"/>
    </row>
    <row r="16" spans="2:12">
      <c r="B16" s="68" t="s">
        <v>521</v>
      </c>
      <c r="C16" s="82"/>
      <c r="D16" s="79" t="s">
        <v>522</v>
      </c>
      <c r="E16" s="80" t="s">
        <v>10</v>
      </c>
      <c r="F16" s="703"/>
      <c r="G16" s="703"/>
      <c r="H16" s="703"/>
      <c r="I16" s="704"/>
      <c r="J16" s="704"/>
    </row>
    <row r="17" spans="2:10">
      <c r="B17" s="68" t="s">
        <v>523</v>
      </c>
      <c r="C17" s="82"/>
      <c r="D17" s="79" t="s">
        <v>524</v>
      </c>
      <c r="E17" s="80" t="s">
        <v>933</v>
      </c>
      <c r="F17" s="703"/>
      <c r="G17" s="703"/>
      <c r="H17" s="703"/>
      <c r="I17" s="704"/>
      <c r="J17" s="704"/>
    </row>
    <row r="18" spans="2:10">
      <c r="B18" s="68" t="s">
        <v>525</v>
      </c>
      <c r="C18" s="82"/>
      <c r="D18" s="79" t="s">
        <v>526</v>
      </c>
      <c r="E18" s="80" t="s">
        <v>934</v>
      </c>
      <c r="F18" s="703"/>
      <c r="G18" s="703"/>
      <c r="H18" s="703"/>
      <c r="I18" s="704"/>
      <c r="J18" s="704"/>
    </row>
    <row r="19" spans="2:10">
      <c r="B19" s="68" t="s">
        <v>527</v>
      </c>
      <c r="C19" s="82"/>
      <c r="D19" s="79" t="s">
        <v>528</v>
      </c>
      <c r="E19" s="80" t="s">
        <v>935</v>
      </c>
      <c r="F19" s="703"/>
      <c r="G19" s="703"/>
      <c r="H19" s="703"/>
      <c r="I19" s="704"/>
      <c r="J19" s="704"/>
    </row>
    <row r="20" spans="2:10">
      <c r="B20" s="68" t="s">
        <v>529</v>
      </c>
      <c r="C20" s="82"/>
      <c r="D20" s="79" t="s">
        <v>530</v>
      </c>
      <c r="E20" s="80" t="s">
        <v>935</v>
      </c>
      <c r="F20" s="703"/>
      <c r="G20" s="703"/>
      <c r="H20" s="703"/>
      <c r="I20" s="704"/>
      <c r="J20" s="704"/>
    </row>
    <row r="21" spans="2:10">
      <c r="B21" s="68" t="s">
        <v>531</v>
      </c>
      <c r="C21" s="82"/>
      <c r="D21" s="81" t="s">
        <v>532</v>
      </c>
      <c r="E21" s="80"/>
      <c r="F21" s="62"/>
      <c r="G21" s="62"/>
      <c r="H21" s="62"/>
      <c r="I21" s="308"/>
      <c r="J21" s="66"/>
    </row>
    <row r="22" spans="2:10">
      <c r="B22" s="68" t="s">
        <v>533</v>
      </c>
      <c r="C22" s="82"/>
      <c r="D22" s="79" t="s">
        <v>534</v>
      </c>
      <c r="E22" s="80" t="s">
        <v>535</v>
      </c>
      <c r="F22" s="411">
        <f>'Sd_Form 1'!E134</f>
        <v>0</v>
      </c>
      <c r="G22" s="411">
        <f>'Sd_Form 1'!F134</f>
        <v>0</v>
      </c>
      <c r="H22" s="411">
        <f>'Sd_Form 1'!G134</f>
        <v>0</v>
      </c>
      <c r="I22" s="411">
        <f>'Sd_Form 1'!H134</f>
        <v>0</v>
      </c>
      <c r="J22" s="411">
        <f>'Sd_Form 1'!I134</f>
        <v>0</v>
      </c>
    </row>
    <row r="23" spans="2:10">
      <c r="B23" s="68" t="s">
        <v>536</v>
      </c>
      <c r="C23" s="82"/>
      <c r="D23" s="79" t="s">
        <v>537</v>
      </c>
      <c r="E23" s="80" t="s">
        <v>538</v>
      </c>
      <c r="F23" s="411">
        <f>'Sd_Form 1'!E135</f>
        <v>0</v>
      </c>
      <c r="G23" s="411">
        <f>'Sd_Form 1'!F135</f>
        <v>0</v>
      </c>
      <c r="H23" s="411">
        <f>'Sd_Form 1'!G135</f>
        <v>0</v>
      </c>
      <c r="I23" s="411">
        <f>'Sd_Form 1'!H135</f>
        <v>0</v>
      </c>
      <c r="J23" s="411">
        <f>'Sd_Form 1'!I135</f>
        <v>0</v>
      </c>
    </row>
    <row r="24" spans="2:10" ht="30">
      <c r="B24" s="68" t="s">
        <v>539</v>
      </c>
      <c r="C24" s="83" t="s">
        <v>1000</v>
      </c>
      <c r="D24" s="79"/>
      <c r="E24" s="80" t="s">
        <v>506</v>
      </c>
      <c r="F24" s="411">
        <f>'Sd_Form 1'!E136</f>
        <v>0</v>
      </c>
      <c r="G24" s="411">
        <f>'Sd_Form 1'!F136</f>
        <v>0</v>
      </c>
      <c r="H24" s="411">
        <f>'Sd_Form 1'!G136</f>
        <v>0</v>
      </c>
      <c r="I24" s="411">
        <f>'Sd_Form 1'!H136</f>
        <v>0</v>
      </c>
      <c r="J24" s="411">
        <f>'Sd_Form 1'!I136</f>
        <v>0</v>
      </c>
    </row>
    <row r="25" spans="2:10">
      <c r="B25" s="68" t="s">
        <v>540</v>
      </c>
      <c r="C25" s="82"/>
      <c r="D25" s="79" t="s">
        <v>541</v>
      </c>
      <c r="E25" s="80" t="s">
        <v>10</v>
      </c>
      <c r="F25" s="703"/>
      <c r="G25" s="703"/>
      <c r="H25" s="703"/>
      <c r="I25" s="1065"/>
      <c r="J25" s="1065"/>
    </row>
    <row r="26" spans="2:10">
      <c r="B26" s="68" t="s">
        <v>542</v>
      </c>
      <c r="C26" s="82"/>
      <c r="D26" s="79" t="s">
        <v>938</v>
      </c>
      <c r="E26" s="80" t="s">
        <v>10</v>
      </c>
      <c r="F26" s="703"/>
      <c r="G26" s="703"/>
      <c r="H26" s="703"/>
      <c r="I26" s="1065"/>
      <c r="J26" s="1065"/>
    </row>
    <row r="27" spans="2:10" ht="31.5" customHeight="1">
      <c r="B27" s="68" t="s">
        <v>543</v>
      </c>
      <c r="C27" s="82"/>
      <c r="D27" s="87" t="s">
        <v>861</v>
      </c>
      <c r="E27" s="80" t="s">
        <v>10</v>
      </c>
      <c r="F27" s="703"/>
      <c r="G27" s="703"/>
      <c r="H27" s="703"/>
      <c r="I27" s="704"/>
      <c r="J27" s="704"/>
    </row>
    <row r="28" spans="2:10">
      <c r="B28" s="68" t="s">
        <v>544</v>
      </c>
      <c r="C28" s="82"/>
      <c r="D28" s="79" t="s">
        <v>545</v>
      </c>
      <c r="E28" s="80" t="s">
        <v>10</v>
      </c>
      <c r="F28" s="416">
        <f>(F25-F26-F27)</f>
        <v>0</v>
      </c>
      <c r="G28" s="416">
        <f>(G25-G26-G27)</f>
        <v>0</v>
      </c>
      <c r="H28" s="416">
        <f>(H25-H26-H27)</f>
        <v>0</v>
      </c>
      <c r="I28" s="416">
        <f>(I25-I26-I27)</f>
        <v>0</v>
      </c>
      <c r="J28" s="416">
        <f>(J25-J26-J27)</f>
        <v>0</v>
      </c>
    </row>
    <row r="29" spans="2:10">
      <c r="B29" s="68" t="s">
        <v>546</v>
      </c>
      <c r="C29" s="82"/>
      <c r="D29" s="84" t="s">
        <v>547</v>
      </c>
      <c r="E29" s="80"/>
      <c r="F29" s="62"/>
      <c r="G29" s="62"/>
      <c r="H29" s="62"/>
      <c r="I29" s="308"/>
      <c r="J29" s="66"/>
    </row>
    <row r="30" spans="2:10" ht="30" customHeight="1">
      <c r="B30" s="68" t="s">
        <v>548</v>
      </c>
      <c r="C30" s="82"/>
      <c r="D30" s="90" t="s">
        <v>549</v>
      </c>
      <c r="E30" s="811" t="s">
        <v>734</v>
      </c>
      <c r="F30" s="704"/>
      <c r="G30" s="704"/>
      <c r="H30" s="704"/>
      <c r="I30" s="704"/>
      <c r="J30" s="704"/>
    </row>
    <row r="31" spans="2:10" ht="30.75" customHeight="1">
      <c r="B31" s="68" t="s">
        <v>551</v>
      </c>
      <c r="C31" s="82"/>
      <c r="D31" s="90" t="s">
        <v>552</v>
      </c>
      <c r="E31" s="811" t="s">
        <v>734</v>
      </c>
      <c r="F31" s="703"/>
      <c r="G31" s="703"/>
      <c r="H31" s="703"/>
      <c r="I31" s="704"/>
      <c r="J31" s="704"/>
    </row>
    <row r="32" spans="2:10" s="171" customFormat="1">
      <c r="B32" s="68" t="s">
        <v>553</v>
      </c>
      <c r="C32" s="173"/>
      <c r="D32" s="1124" t="s">
        <v>554</v>
      </c>
      <c r="E32" s="812" t="s">
        <v>734</v>
      </c>
      <c r="F32" s="703"/>
      <c r="G32" s="703"/>
      <c r="H32" s="703"/>
      <c r="I32" s="704"/>
      <c r="J32" s="704"/>
    </row>
    <row r="33" spans="2:10" ht="28.5" customHeight="1">
      <c r="B33" s="68" t="s">
        <v>555</v>
      </c>
      <c r="C33" s="82"/>
      <c r="D33" s="90" t="s">
        <v>556</v>
      </c>
      <c r="E33" s="811" t="s">
        <v>734</v>
      </c>
      <c r="F33" s="416">
        <f>SUM(F30:F32)</f>
        <v>0</v>
      </c>
      <c r="G33" s="416">
        <f>SUM(G30:G32)</f>
        <v>0</v>
      </c>
      <c r="H33" s="416">
        <f>SUM(H30:H32)</f>
        <v>0</v>
      </c>
      <c r="I33" s="416">
        <f>SUM(I30:I32)</f>
        <v>0</v>
      </c>
      <c r="J33" s="305">
        <f>SUM(J30:J32)</f>
        <v>0</v>
      </c>
    </row>
    <row r="34" spans="2:10" s="171" customFormat="1" ht="45.75" customHeight="1">
      <c r="B34" s="68" t="s">
        <v>557</v>
      </c>
      <c r="C34" s="366" t="s">
        <v>996</v>
      </c>
      <c r="D34" s="809"/>
      <c r="E34" s="21" t="s">
        <v>995</v>
      </c>
      <c r="F34" s="703"/>
      <c r="G34" s="703"/>
      <c r="H34" s="703"/>
      <c r="I34" s="704"/>
      <c r="J34" s="704"/>
    </row>
    <row r="35" spans="2:10" s="171" customFormat="1" ht="33.75" customHeight="1">
      <c r="B35" s="86" t="s">
        <v>558</v>
      </c>
      <c r="C35" s="810" t="s">
        <v>559</v>
      </c>
      <c r="D35" s="170"/>
      <c r="E35" s="21" t="s">
        <v>995</v>
      </c>
      <c r="F35" s="62">
        <v>2860</v>
      </c>
      <c r="G35" s="62">
        <v>2860</v>
      </c>
      <c r="H35" s="62">
        <v>2860</v>
      </c>
      <c r="I35" s="62">
        <v>2860</v>
      </c>
      <c r="J35" s="62">
        <v>2860</v>
      </c>
    </row>
    <row r="36" spans="2:10" ht="28.5" customHeight="1">
      <c r="B36" s="68" t="s">
        <v>560</v>
      </c>
      <c r="C36" s="1098" t="s">
        <v>1011</v>
      </c>
      <c r="D36" s="79" t="s">
        <v>561</v>
      </c>
      <c r="E36" s="80" t="s">
        <v>12</v>
      </c>
      <c r="F36" s="1066" t="e">
        <f>F13*F17/F11</f>
        <v>#DIV/0!</v>
      </c>
      <c r="G36" s="1066" t="e">
        <f>G13*G17/G11</f>
        <v>#DIV/0!</v>
      </c>
      <c r="H36" s="1066" t="e">
        <f>H13*H17/H11</f>
        <v>#DIV/0!</v>
      </c>
      <c r="I36" s="1066" t="e">
        <f>I13*I17/I11</f>
        <v>#DIV/0!</v>
      </c>
      <c r="J36" s="1066" t="e">
        <f>J13*J17/J11</f>
        <v>#DIV/0!</v>
      </c>
    </row>
    <row r="37" spans="2:10">
      <c r="B37" s="68" t="s">
        <v>562</v>
      </c>
      <c r="C37" s="79"/>
      <c r="D37" s="79" t="s">
        <v>563</v>
      </c>
      <c r="E37" s="80" t="s">
        <v>12</v>
      </c>
      <c r="F37" s="1066" t="e">
        <f>F14*F18/F11</f>
        <v>#DIV/0!</v>
      </c>
      <c r="G37" s="1066" t="e">
        <f>G14*G18/G11</f>
        <v>#DIV/0!</v>
      </c>
      <c r="H37" s="1066" t="e">
        <f>H14*H18/H11</f>
        <v>#DIV/0!</v>
      </c>
      <c r="I37" s="1066" t="e">
        <f>I14*I18/I11</f>
        <v>#DIV/0!</v>
      </c>
      <c r="J37" s="1066" t="e">
        <f>J14*J18/J11</f>
        <v>#DIV/0!</v>
      </c>
    </row>
    <row r="38" spans="2:10">
      <c r="B38" s="68" t="s">
        <v>564</v>
      </c>
      <c r="C38" s="79"/>
      <c r="D38" s="79" t="s">
        <v>565</v>
      </c>
      <c r="E38" s="80" t="s">
        <v>12</v>
      </c>
      <c r="F38" s="1067" t="e">
        <f>F30*F34/F11</f>
        <v>#DIV/0!</v>
      </c>
      <c r="G38" s="1067" t="e">
        <f t="shared" ref="G38:J38" si="0">G30*G34/G11</f>
        <v>#DIV/0!</v>
      </c>
      <c r="H38" s="1067" t="e">
        <f t="shared" si="0"/>
        <v>#DIV/0!</v>
      </c>
      <c r="I38" s="1067" t="e">
        <f t="shared" si="0"/>
        <v>#DIV/0!</v>
      </c>
      <c r="J38" s="1067" t="e">
        <f t="shared" si="0"/>
        <v>#DIV/0!</v>
      </c>
    </row>
    <row r="39" spans="2:10">
      <c r="B39" s="68" t="s">
        <v>566</v>
      </c>
      <c r="C39" s="79"/>
      <c r="D39" s="79" t="s">
        <v>567</v>
      </c>
      <c r="E39" s="80" t="s">
        <v>12</v>
      </c>
      <c r="F39" s="1067" t="e">
        <f>F28*F24/1000/F11</f>
        <v>#DIV/0!</v>
      </c>
      <c r="G39" s="1067" t="e">
        <f t="shared" ref="G39:J39" si="1">G28*G24/1000/G11</f>
        <v>#DIV/0!</v>
      </c>
      <c r="H39" s="1067" t="e">
        <f t="shared" si="1"/>
        <v>#DIV/0!</v>
      </c>
      <c r="I39" s="1067" t="e">
        <f t="shared" si="1"/>
        <v>#DIV/0!</v>
      </c>
      <c r="J39" s="1067" t="e">
        <f t="shared" si="1"/>
        <v>#DIV/0!</v>
      </c>
    </row>
    <row r="40" spans="2:10">
      <c r="B40" s="68" t="s">
        <v>568</v>
      </c>
      <c r="C40" s="79"/>
      <c r="D40" s="79" t="s">
        <v>569</v>
      </c>
      <c r="E40" s="80" t="s">
        <v>12</v>
      </c>
      <c r="F40" s="1067" t="e">
        <f>(F31+F32)*F35/F11</f>
        <v>#DIV/0!</v>
      </c>
      <c r="G40" s="1067" t="e">
        <f t="shared" ref="G40:J40" si="2">(G31+G32)*G35/G11</f>
        <v>#DIV/0!</v>
      </c>
      <c r="H40" s="1067" t="e">
        <f t="shared" si="2"/>
        <v>#DIV/0!</v>
      </c>
      <c r="I40" s="1067" t="e">
        <f t="shared" si="2"/>
        <v>#DIV/0!</v>
      </c>
      <c r="J40" s="1067" t="e">
        <f t="shared" si="2"/>
        <v>#DIV/0!</v>
      </c>
    </row>
    <row r="41" spans="2:10">
      <c r="B41" s="68" t="s">
        <v>570</v>
      </c>
      <c r="C41" s="79"/>
      <c r="D41" s="88" t="s">
        <v>571</v>
      </c>
      <c r="E41" s="80" t="s">
        <v>12</v>
      </c>
      <c r="F41" s="700"/>
      <c r="G41" s="700"/>
      <c r="H41" s="700"/>
      <c r="I41" s="778"/>
      <c r="J41" s="754"/>
    </row>
    <row r="42" spans="2:10">
      <c r="B42" s="68" t="s">
        <v>572</v>
      </c>
      <c r="C42" s="79"/>
      <c r="D42" s="85" t="s">
        <v>573</v>
      </c>
      <c r="E42" s="80" t="s">
        <v>12</v>
      </c>
      <c r="F42" s="1068"/>
      <c r="G42" s="1068"/>
      <c r="H42" s="1068"/>
      <c r="I42" s="1069"/>
      <c r="J42" s="1069"/>
    </row>
    <row r="43" spans="2:10">
      <c r="B43" s="68" t="s">
        <v>574</v>
      </c>
      <c r="C43" s="79"/>
      <c r="D43" s="85" t="s">
        <v>575</v>
      </c>
      <c r="E43" s="80" t="s">
        <v>12</v>
      </c>
      <c r="F43" s="1068"/>
      <c r="G43" s="1068"/>
      <c r="H43" s="1068"/>
      <c r="I43" s="1069"/>
      <c r="J43" s="1069"/>
    </row>
    <row r="44" spans="2:10">
      <c r="B44" s="68" t="s">
        <v>576</v>
      </c>
      <c r="C44" s="79"/>
      <c r="D44" s="1123" t="s">
        <v>577</v>
      </c>
      <c r="E44" s="80" t="s">
        <v>12</v>
      </c>
      <c r="F44" s="1068"/>
      <c r="G44" s="1068"/>
      <c r="H44" s="1068"/>
      <c r="I44" s="1069"/>
      <c r="J44" s="1069"/>
    </row>
    <row r="45" spans="2:10">
      <c r="B45" s="438" t="s">
        <v>578</v>
      </c>
      <c r="C45" s="467" t="s">
        <v>579</v>
      </c>
      <c r="D45" s="467" t="s">
        <v>580</v>
      </c>
      <c r="E45" s="465" t="s">
        <v>12</v>
      </c>
      <c r="F45" s="1189" t="e">
        <f>SUM(F36:F44)</f>
        <v>#DIV/0!</v>
      </c>
      <c r="G45" s="1189" t="e">
        <f t="shared" ref="G45:J45" si="3">SUM(G36:G44)</f>
        <v>#DIV/0!</v>
      </c>
      <c r="H45" s="1189" t="e">
        <f t="shared" si="3"/>
        <v>#DIV/0!</v>
      </c>
      <c r="I45" s="1189" t="e">
        <f t="shared" si="3"/>
        <v>#DIV/0!</v>
      </c>
      <c r="J45" s="1189" t="e">
        <f t="shared" si="3"/>
        <v>#DIV/0!</v>
      </c>
    </row>
    <row r="46" spans="2:10" hidden="1">
      <c r="B46" s="68"/>
      <c r="C46" s="80"/>
      <c r="D46" s="79"/>
      <c r="E46" s="80"/>
      <c r="F46" s="185"/>
      <c r="G46" s="185"/>
      <c r="H46" s="185"/>
      <c r="I46" s="170"/>
      <c r="J46" s="170"/>
    </row>
    <row r="47" spans="2:10" ht="18.75">
      <c r="B47" s="405" t="s">
        <v>346</v>
      </c>
      <c r="C47" s="406" t="s">
        <v>581</v>
      </c>
      <c r="D47" s="407"/>
      <c r="E47" s="408"/>
      <c r="F47" s="409"/>
      <c r="G47" s="409"/>
      <c r="H47" s="409"/>
      <c r="I47" s="410"/>
      <c r="J47" s="410"/>
    </row>
    <row r="48" spans="2:10">
      <c r="B48" s="478"/>
      <c r="C48" s="479"/>
      <c r="D48" s="480"/>
      <c r="E48" s="478"/>
      <c r="F48" s="308"/>
      <c r="G48" s="308"/>
      <c r="H48" s="308"/>
      <c r="I48" s="308"/>
      <c r="J48" s="308"/>
    </row>
    <row r="49" spans="2:10">
      <c r="B49" s="478"/>
      <c r="C49" s="479"/>
      <c r="D49" s="479"/>
      <c r="E49" s="478"/>
      <c r="F49" s="308"/>
      <c r="G49" s="308"/>
      <c r="H49" s="308"/>
      <c r="I49" s="308"/>
      <c r="J49" s="308"/>
    </row>
    <row r="50" spans="2:10">
      <c r="B50" s="478"/>
      <c r="C50" s="479"/>
      <c r="D50" s="479"/>
      <c r="E50" s="478"/>
      <c r="F50" s="308"/>
      <c r="G50" s="308"/>
      <c r="H50" s="308"/>
      <c r="I50" s="308"/>
      <c r="J50" s="308"/>
    </row>
    <row r="51" spans="2:10">
      <c r="B51" s="75" t="s">
        <v>511</v>
      </c>
      <c r="C51" s="85" t="s">
        <v>510</v>
      </c>
      <c r="D51" s="79" t="s">
        <v>3</v>
      </c>
      <c r="E51" s="80" t="s">
        <v>10</v>
      </c>
      <c r="F51" s="411">
        <f>'Sd_Form 1'!E24</f>
        <v>0</v>
      </c>
      <c r="G51" s="411">
        <f>'Sd_Form 1'!F24</f>
        <v>0</v>
      </c>
      <c r="H51" s="411">
        <f>'Sd_Form 1'!G24</f>
        <v>0</v>
      </c>
      <c r="I51" s="411">
        <f>'Sd_Form 1'!H24</f>
        <v>0</v>
      </c>
      <c r="J51" s="411">
        <f>'Sd_Form 1'!I24</f>
        <v>0</v>
      </c>
    </row>
    <row r="52" spans="2:10">
      <c r="B52" s="68" t="s">
        <v>582</v>
      </c>
      <c r="C52" s="85" t="s">
        <v>512</v>
      </c>
      <c r="D52" s="79"/>
      <c r="E52" s="80" t="s">
        <v>513</v>
      </c>
      <c r="F52" s="704"/>
      <c r="G52" s="704"/>
      <c r="H52" s="704"/>
      <c r="I52" s="704"/>
      <c r="J52" s="704"/>
    </row>
    <row r="53" spans="2:10">
      <c r="B53" s="89" t="s">
        <v>832</v>
      </c>
      <c r="C53" s="85" t="s">
        <v>583</v>
      </c>
      <c r="D53" s="79"/>
      <c r="E53" s="80" t="s">
        <v>11</v>
      </c>
      <c r="F53" s="704"/>
      <c r="G53" s="704"/>
      <c r="H53" s="704"/>
      <c r="I53" s="704"/>
      <c r="J53" s="704"/>
    </row>
    <row r="54" spans="2:10">
      <c r="B54" s="68" t="s">
        <v>514</v>
      </c>
      <c r="C54" s="85" t="s">
        <v>515</v>
      </c>
      <c r="D54" s="79" t="s">
        <v>584</v>
      </c>
      <c r="E54" s="80" t="s">
        <v>10</v>
      </c>
      <c r="F54" s="703"/>
      <c r="G54" s="703"/>
      <c r="H54" s="703"/>
      <c r="I54" s="1065"/>
      <c r="J54" s="703"/>
    </row>
    <row r="55" spans="2:10">
      <c r="B55" s="68" t="s">
        <v>585</v>
      </c>
      <c r="C55" s="85"/>
      <c r="D55" s="79" t="s">
        <v>534</v>
      </c>
      <c r="E55" s="80" t="s">
        <v>535</v>
      </c>
      <c r="F55" s="703"/>
      <c r="G55" s="703"/>
      <c r="H55" s="703"/>
      <c r="I55" s="704"/>
      <c r="J55" s="703"/>
    </row>
    <row r="56" spans="2:10">
      <c r="B56" s="68" t="s">
        <v>586</v>
      </c>
      <c r="C56" s="85"/>
      <c r="D56" s="79" t="s">
        <v>537</v>
      </c>
      <c r="E56" s="80" t="s">
        <v>538</v>
      </c>
      <c r="F56" s="703"/>
      <c r="G56" s="703"/>
      <c r="H56" s="703"/>
      <c r="I56" s="704"/>
      <c r="J56" s="703"/>
    </row>
    <row r="57" spans="2:10" s="171" customFormat="1" ht="30">
      <c r="B57" s="68" t="s">
        <v>587</v>
      </c>
      <c r="C57" s="366" t="s">
        <v>999</v>
      </c>
      <c r="D57" s="170"/>
      <c r="E57" s="21" t="s">
        <v>506</v>
      </c>
      <c r="F57" s="703"/>
      <c r="G57" s="703"/>
      <c r="H57" s="703"/>
      <c r="I57" s="704"/>
      <c r="J57" s="704"/>
    </row>
    <row r="58" spans="2:10">
      <c r="B58" s="68" t="s">
        <v>588</v>
      </c>
      <c r="C58" s="82"/>
      <c r="D58" s="85" t="s">
        <v>541</v>
      </c>
      <c r="E58" s="80" t="s">
        <v>10</v>
      </c>
      <c r="F58" s="703"/>
      <c r="G58" s="703"/>
      <c r="H58" s="703"/>
      <c r="I58" s="1065"/>
      <c r="J58" s="703"/>
    </row>
    <row r="59" spans="2:10" ht="28.5" customHeight="1">
      <c r="B59" s="68" t="s">
        <v>589</v>
      </c>
      <c r="C59" s="82"/>
      <c r="D59" s="90" t="s">
        <v>997</v>
      </c>
      <c r="E59" s="80" t="s">
        <v>10</v>
      </c>
      <c r="F59" s="703"/>
      <c r="G59" s="703"/>
      <c r="H59" s="703"/>
      <c r="I59" s="1065"/>
      <c r="J59" s="1065"/>
    </row>
    <row r="60" spans="2:10" ht="15.75" customHeight="1">
      <c r="B60" s="68" t="s">
        <v>590</v>
      </c>
      <c r="C60" s="82"/>
      <c r="D60" s="85" t="s">
        <v>545</v>
      </c>
      <c r="E60" s="80" t="s">
        <v>10</v>
      </c>
      <c r="F60" s="416">
        <f>F58-F59</f>
        <v>0</v>
      </c>
      <c r="G60" s="416">
        <f t="shared" ref="G60:J60" si="4">G58-G59</f>
        <v>0</v>
      </c>
      <c r="H60" s="416">
        <f t="shared" si="4"/>
        <v>0</v>
      </c>
      <c r="I60" s="416">
        <f t="shared" si="4"/>
        <v>0</v>
      </c>
      <c r="J60" s="416">
        <f t="shared" si="4"/>
        <v>0</v>
      </c>
    </row>
    <row r="61" spans="2:10">
      <c r="B61" s="68" t="s">
        <v>591</v>
      </c>
      <c r="C61" s="82"/>
      <c r="D61" s="91" t="s">
        <v>2</v>
      </c>
      <c r="E61" s="80"/>
      <c r="F61" s="62"/>
      <c r="G61" s="62"/>
      <c r="H61" s="171"/>
      <c r="I61" s="308"/>
      <c r="J61" s="66"/>
    </row>
    <row r="62" spans="2:10">
      <c r="B62" s="68" t="s">
        <v>592</v>
      </c>
      <c r="C62" s="82"/>
      <c r="D62" s="85" t="s">
        <v>878</v>
      </c>
      <c r="E62" s="80" t="s">
        <v>10</v>
      </c>
      <c r="F62" s="1065"/>
      <c r="G62" s="1065"/>
      <c r="H62" s="1065"/>
      <c r="I62" s="1065"/>
      <c r="J62" s="704"/>
    </row>
    <row r="63" spans="2:10">
      <c r="B63" s="68" t="s">
        <v>593</v>
      </c>
      <c r="C63" s="82"/>
      <c r="D63" s="1123" t="s">
        <v>1018</v>
      </c>
      <c r="E63" s="80" t="s">
        <v>10</v>
      </c>
      <c r="F63" s="1065"/>
      <c r="G63" s="1065"/>
      <c r="H63" s="1065"/>
      <c r="I63" s="704"/>
      <c r="J63" s="704"/>
    </row>
    <row r="64" spans="2:10">
      <c r="B64" s="68" t="s">
        <v>594</v>
      </c>
      <c r="C64" s="82"/>
      <c r="D64" s="85" t="s">
        <v>595</v>
      </c>
      <c r="E64" s="80" t="s">
        <v>10</v>
      </c>
      <c r="F64" s="416">
        <f t="shared" ref="F64" si="5">SUM(F62:F63)</f>
        <v>0</v>
      </c>
      <c r="G64" s="416">
        <f t="shared" ref="G64" si="6">SUM(G62:G63)</f>
        <v>0</v>
      </c>
      <c r="H64" s="416">
        <f t="shared" ref="H64" si="7">SUM(H62:H63)</f>
        <v>0</v>
      </c>
      <c r="I64" s="416">
        <f t="shared" ref="I64" si="8">SUM(I62:I63)</f>
        <v>0</v>
      </c>
      <c r="J64" s="416">
        <f t="shared" ref="J64" si="9">SUM(J62:J63)</f>
        <v>0</v>
      </c>
    </row>
    <row r="65" spans="2:13">
      <c r="B65" s="68" t="s">
        <v>519</v>
      </c>
      <c r="C65" s="82"/>
      <c r="D65" s="92" t="s">
        <v>596</v>
      </c>
      <c r="E65" s="80"/>
      <c r="F65" s="62"/>
      <c r="G65" s="62"/>
      <c r="H65" s="62"/>
      <c r="I65" s="308"/>
      <c r="J65" s="66"/>
      <c r="M65" s="1096"/>
    </row>
    <row r="66" spans="2:13">
      <c r="B66" s="68" t="s">
        <v>597</v>
      </c>
      <c r="C66" s="82"/>
      <c r="D66" s="85" t="s">
        <v>828</v>
      </c>
      <c r="E66" s="811" t="s">
        <v>734</v>
      </c>
      <c r="F66" s="1065"/>
      <c r="G66" s="1065"/>
      <c r="H66" s="1065"/>
      <c r="I66" s="1065"/>
      <c r="J66" s="1065"/>
    </row>
    <row r="67" spans="2:13">
      <c r="B67" s="68" t="s">
        <v>598</v>
      </c>
      <c r="C67" s="82"/>
      <c r="D67" s="85" t="s">
        <v>829</v>
      </c>
      <c r="E67" s="811" t="s">
        <v>734</v>
      </c>
      <c r="F67" s="703"/>
      <c r="G67" s="703"/>
      <c r="H67" s="703"/>
      <c r="I67" s="704"/>
      <c r="J67" s="704"/>
    </row>
    <row r="68" spans="2:13">
      <c r="B68" s="68" t="s">
        <v>599</v>
      </c>
      <c r="C68" s="82"/>
      <c r="D68" s="1123" t="s">
        <v>554</v>
      </c>
      <c r="E68" s="811" t="s">
        <v>734</v>
      </c>
      <c r="F68" s="703"/>
      <c r="G68" s="703"/>
      <c r="H68" s="703"/>
      <c r="I68" s="704"/>
      <c r="J68" s="704"/>
    </row>
    <row r="69" spans="2:13">
      <c r="B69" s="68" t="s">
        <v>600</v>
      </c>
      <c r="C69" s="82"/>
      <c r="D69" s="85" t="s">
        <v>830</v>
      </c>
      <c r="E69" s="811" t="s">
        <v>734</v>
      </c>
      <c r="F69" s="1314">
        <f>(F66+F67+F68)</f>
        <v>0</v>
      </c>
      <c r="G69" s="1314">
        <f>(G66+G67+G68)</f>
        <v>0</v>
      </c>
      <c r="H69" s="1314">
        <f>(H66+H67+H68)</f>
        <v>0</v>
      </c>
      <c r="I69" s="1314">
        <f>(I66+I67+I68)</f>
        <v>0</v>
      </c>
      <c r="J69" s="1314">
        <f>(J66+J67+J68)</f>
        <v>0</v>
      </c>
    </row>
    <row r="70" spans="2:13">
      <c r="B70" s="68" t="s">
        <v>601</v>
      </c>
      <c r="C70" s="82" t="s">
        <v>602</v>
      </c>
      <c r="D70" s="85" t="s">
        <v>2</v>
      </c>
      <c r="E70" s="80" t="s">
        <v>603</v>
      </c>
      <c r="F70" s="1066" t="e">
        <f>F64/F51</f>
        <v>#DIV/0!</v>
      </c>
      <c r="G70" s="1066" t="e">
        <f t="shared" ref="G70:J70" si="10">G64/G51</f>
        <v>#DIV/0!</v>
      </c>
      <c r="H70" s="1066" t="e">
        <f t="shared" si="10"/>
        <v>#DIV/0!</v>
      </c>
      <c r="I70" s="1066" t="e">
        <f t="shared" si="10"/>
        <v>#DIV/0!</v>
      </c>
      <c r="J70" s="1066" t="e">
        <f t="shared" si="10"/>
        <v>#DIV/0!</v>
      </c>
    </row>
    <row r="71" spans="2:13">
      <c r="B71" s="68" t="s">
        <v>162</v>
      </c>
      <c r="C71" s="82"/>
      <c r="D71" s="79" t="s">
        <v>584</v>
      </c>
      <c r="E71" s="80" t="s">
        <v>603</v>
      </c>
      <c r="F71" s="1070" t="e">
        <f>F60/F51</f>
        <v>#DIV/0!</v>
      </c>
      <c r="G71" s="1070" t="e">
        <f t="shared" ref="G71:J71" si="11">G60/G51</f>
        <v>#DIV/0!</v>
      </c>
      <c r="H71" s="1070" t="e">
        <f t="shared" si="11"/>
        <v>#DIV/0!</v>
      </c>
      <c r="I71" s="1070" t="e">
        <f t="shared" si="11"/>
        <v>#DIV/0!</v>
      </c>
      <c r="J71" s="1070" t="e">
        <f t="shared" si="11"/>
        <v>#DIV/0!</v>
      </c>
    </row>
    <row r="72" spans="2:13" ht="26.25" customHeight="1">
      <c r="B72" s="86" t="s">
        <v>604</v>
      </c>
      <c r="C72" s="1097" t="s">
        <v>998</v>
      </c>
      <c r="D72" s="79" t="s">
        <v>584</v>
      </c>
      <c r="E72" s="80" t="s">
        <v>12</v>
      </c>
      <c r="F72" s="711" t="e">
        <f>F71*F57/1000</f>
        <v>#DIV/0!</v>
      </c>
      <c r="G72" s="711" t="e">
        <f t="shared" ref="G72:J72" si="12">G71*G57/1000</f>
        <v>#DIV/0!</v>
      </c>
      <c r="H72" s="711" t="e">
        <f t="shared" si="12"/>
        <v>#DIV/0!</v>
      </c>
      <c r="I72" s="711" t="e">
        <f t="shared" si="12"/>
        <v>#DIV/0!</v>
      </c>
      <c r="J72" s="711" t="e">
        <f t="shared" si="12"/>
        <v>#DIV/0!</v>
      </c>
    </row>
    <row r="73" spans="2:13">
      <c r="B73" s="68" t="s">
        <v>605</v>
      </c>
      <c r="C73" s="82"/>
      <c r="D73" s="79" t="s">
        <v>2</v>
      </c>
      <c r="E73" s="80" t="s">
        <v>12</v>
      </c>
      <c r="F73" s="711" t="e">
        <f>F70*F45</f>
        <v>#DIV/0!</v>
      </c>
      <c r="G73" s="711" t="e">
        <f t="shared" ref="G73:J73" si="13">G70*G45</f>
        <v>#DIV/0!</v>
      </c>
      <c r="H73" s="711" t="e">
        <f t="shared" si="13"/>
        <v>#DIV/0!</v>
      </c>
      <c r="I73" s="711" t="e">
        <f t="shared" si="13"/>
        <v>#DIV/0!</v>
      </c>
      <c r="J73" s="711" t="e">
        <f t="shared" si="13"/>
        <v>#DIV/0!</v>
      </c>
    </row>
    <row r="74" spans="2:13">
      <c r="B74" s="68" t="s">
        <v>606</v>
      </c>
      <c r="C74" s="82"/>
      <c r="D74" s="79" t="s">
        <v>565</v>
      </c>
      <c r="E74" s="80" t="s">
        <v>12</v>
      </c>
      <c r="F74" s="711">
        <f t="shared" ref="F74:J74" si="14">F66*F34</f>
        <v>0</v>
      </c>
      <c r="G74" s="711">
        <f t="shared" si="14"/>
        <v>0</v>
      </c>
      <c r="H74" s="711">
        <f t="shared" si="14"/>
        <v>0</v>
      </c>
      <c r="I74" s="711">
        <f t="shared" si="14"/>
        <v>0</v>
      </c>
      <c r="J74" s="711">
        <f t="shared" si="14"/>
        <v>0</v>
      </c>
    </row>
    <row r="75" spans="2:13">
      <c r="B75" s="68" t="s">
        <v>607</v>
      </c>
      <c r="C75" s="82"/>
      <c r="D75" s="79" t="s">
        <v>608</v>
      </c>
      <c r="E75" s="80" t="s">
        <v>12</v>
      </c>
      <c r="F75" s="711">
        <f>(F67+F68)*F35</f>
        <v>0</v>
      </c>
      <c r="G75" s="711">
        <f t="shared" ref="G75:J75" si="15">(G67+G68)*G35</f>
        <v>0</v>
      </c>
      <c r="H75" s="711">
        <f t="shared" si="15"/>
        <v>0</v>
      </c>
      <c r="I75" s="711">
        <f t="shared" si="15"/>
        <v>0</v>
      </c>
      <c r="J75" s="711">
        <f t="shared" si="15"/>
        <v>0</v>
      </c>
    </row>
    <row r="76" spans="2:13">
      <c r="B76" s="68" t="s">
        <v>609</v>
      </c>
      <c r="C76" s="82"/>
      <c r="D76" s="1123" t="s">
        <v>571</v>
      </c>
      <c r="E76" s="80" t="s">
        <v>12</v>
      </c>
      <c r="F76" s="704"/>
      <c r="G76" s="703"/>
      <c r="H76" s="703"/>
      <c r="I76" s="704"/>
      <c r="J76" s="703"/>
    </row>
    <row r="77" spans="2:13">
      <c r="B77" s="68" t="s">
        <v>610</v>
      </c>
      <c r="C77" s="82"/>
      <c r="D77" s="85" t="s">
        <v>573</v>
      </c>
      <c r="E77" s="80" t="s">
        <v>12</v>
      </c>
      <c r="F77" s="704"/>
      <c r="G77" s="703"/>
      <c r="H77" s="703"/>
      <c r="I77" s="704"/>
      <c r="J77" s="703"/>
    </row>
    <row r="78" spans="2:13">
      <c r="B78" s="68" t="s">
        <v>611</v>
      </c>
      <c r="C78" s="82"/>
      <c r="D78" s="85" t="s">
        <v>575</v>
      </c>
      <c r="E78" s="80" t="s">
        <v>12</v>
      </c>
      <c r="F78" s="704"/>
      <c r="G78" s="703"/>
      <c r="H78" s="703"/>
      <c r="I78" s="704"/>
      <c r="J78" s="703"/>
    </row>
    <row r="79" spans="2:13">
      <c r="B79" s="68" t="s">
        <v>612</v>
      </c>
      <c r="C79" s="82"/>
      <c r="D79" s="1123" t="s">
        <v>577</v>
      </c>
      <c r="E79" s="80" t="s">
        <v>12</v>
      </c>
      <c r="F79" s="704"/>
      <c r="G79" s="703"/>
      <c r="H79" s="703"/>
      <c r="I79" s="704"/>
      <c r="J79" s="703"/>
    </row>
    <row r="80" spans="2:13" ht="17.25" customHeight="1">
      <c r="B80" s="438">
        <v>6</v>
      </c>
      <c r="C80" s="467" t="s">
        <v>613</v>
      </c>
      <c r="D80" s="468"/>
      <c r="E80" s="468" t="s">
        <v>12</v>
      </c>
      <c r="F80" s="1189" t="e">
        <f>SUM(F72:F79)</f>
        <v>#DIV/0!</v>
      </c>
      <c r="G80" s="1189" t="e">
        <f t="shared" ref="G80:J80" si="16">SUM(G72:G79)</f>
        <v>#DIV/0!</v>
      </c>
      <c r="H80" s="1189" t="e">
        <f t="shared" si="16"/>
        <v>#DIV/0!</v>
      </c>
      <c r="I80" s="1189" t="e">
        <f t="shared" si="16"/>
        <v>#DIV/0!</v>
      </c>
      <c r="J80" s="1189" t="e">
        <f t="shared" si="16"/>
        <v>#DIV/0!</v>
      </c>
    </row>
    <row r="81" spans="2:11" s="171" customFormat="1" ht="66.75" customHeight="1">
      <c r="B81" s="68" t="s">
        <v>614</v>
      </c>
      <c r="C81" s="419" t="s">
        <v>1012</v>
      </c>
      <c r="D81" s="67" t="s">
        <v>580</v>
      </c>
      <c r="E81" s="67" t="s">
        <v>12</v>
      </c>
      <c r="F81" s="1191"/>
      <c r="G81" s="1191"/>
      <c r="H81" s="1191"/>
      <c r="I81" s="1192"/>
      <c r="J81" s="1191"/>
      <c r="K81" s="172"/>
    </row>
    <row r="82" spans="2:11" s="171" customFormat="1" ht="65.25" customHeight="1">
      <c r="B82" s="68" t="s">
        <v>615</v>
      </c>
      <c r="C82" s="419" t="s">
        <v>1013</v>
      </c>
      <c r="D82" s="67" t="s">
        <v>580</v>
      </c>
      <c r="E82" s="67" t="s">
        <v>12</v>
      </c>
      <c r="F82" s="1190"/>
      <c r="G82" s="1190"/>
      <c r="H82" s="1190"/>
      <c r="I82" s="1190"/>
      <c r="J82" s="1190"/>
    </row>
    <row r="83" spans="2:11" s="171" customFormat="1" ht="18.75" customHeight="1">
      <c r="B83" s="93">
        <v>7</v>
      </c>
      <c r="C83" s="94" t="s">
        <v>809</v>
      </c>
      <c r="D83" s="67" t="s">
        <v>580</v>
      </c>
      <c r="E83" s="67" t="s">
        <v>12</v>
      </c>
      <c r="F83" s="1099"/>
      <c r="G83" s="1100"/>
      <c r="H83" s="1100"/>
      <c r="I83" s="21"/>
      <c r="J83" s="634" t="e">
        <f>'NF summary'!K24*10</f>
        <v>#DIV/0!</v>
      </c>
    </row>
    <row r="84" spans="2:11" s="171" customFormat="1" ht="33" customHeight="1">
      <c r="B84" s="93">
        <v>8</v>
      </c>
      <c r="C84" s="420" t="s">
        <v>1001</v>
      </c>
      <c r="D84" s="67" t="s">
        <v>580</v>
      </c>
      <c r="E84" s="67" t="s">
        <v>12</v>
      </c>
      <c r="F84" s="173"/>
      <c r="G84" s="173"/>
      <c r="H84" s="173"/>
      <c r="I84" s="174"/>
      <c r="J84" s="1101" t="e">
        <f>J81-J83</f>
        <v>#DIV/0!</v>
      </c>
    </row>
    <row r="85" spans="2:11" ht="15" customHeight="1">
      <c r="B85" s="95"/>
      <c r="C85" s="99" t="s">
        <v>619</v>
      </c>
      <c r="D85" s="97"/>
      <c r="E85" s="98"/>
      <c r="F85" s="98"/>
      <c r="G85" s="98"/>
      <c r="H85" s="98"/>
      <c r="I85" s="96"/>
      <c r="J85" s="175"/>
      <c r="K85" s="107"/>
    </row>
    <row r="86" spans="2:11" ht="19.5" customHeight="1">
      <c r="B86" s="95"/>
      <c r="C86" s="1380" t="s">
        <v>616</v>
      </c>
      <c r="D86" s="1380"/>
      <c r="E86" s="1380"/>
      <c r="F86" s="1380"/>
      <c r="G86" s="1380"/>
      <c r="H86" s="1380"/>
      <c r="I86" s="669"/>
      <c r="J86" s="100"/>
    </row>
    <row r="87" spans="2:11" ht="15" customHeight="1">
      <c r="B87" s="95"/>
      <c r="C87" s="1380" t="s">
        <v>617</v>
      </c>
      <c r="D87" s="1380"/>
      <c r="E87" s="1380"/>
      <c r="F87" s="1380"/>
      <c r="G87" s="1380"/>
      <c r="H87" s="1380"/>
      <c r="I87" s="101"/>
      <c r="J87" s="101"/>
    </row>
    <row r="88" spans="2:11" ht="15" customHeight="1">
      <c r="B88" s="95"/>
      <c r="C88" s="1380" t="s">
        <v>618</v>
      </c>
      <c r="D88" s="1380"/>
      <c r="E88" s="1380"/>
      <c r="F88" s="1380"/>
      <c r="G88" s="1380"/>
      <c r="H88" s="1380"/>
      <c r="I88" s="101"/>
      <c r="J88" s="101"/>
    </row>
    <row r="89" spans="2:11" ht="16.5" customHeight="1">
      <c r="B89" s="95"/>
      <c r="C89" s="1380"/>
      <c r="D89" s="1380"/>
      <c r="E89" s="1380"/>
      <c r="F89" s="1380"/>
      <c r="G89" s="1380"/>
      <c r="H89" s="1380"/>
      <c r="I89" s="102"/>
      <c r="J89" s="103"/>
    </row>
  </sheetData>
  <sheetProtection password="CC60" sheet="1" objects="1" scenarios="1"/>
  <customSheetViews>
    <customSheetView guid="{5D90FF31-AD5C-4A69-A320-8978B095DFD4}" topLeftCell="A79">
      <selection activeCell="I70" sqref="I70:I82"/>
      <pageMargins left="0.7" right="0.7" top="0.75" bottom="0.75" header="0.3" footer="0.3"/>
      <pageSetup paperSize="9" orientation="portrait" r:id="rId1"/>
    </customSheetView>
  </customSheetViews>
  <mergeCells count="5">
    <mergeCell ref="C89:H89"/>
    <mergeCell ref="G4:H4"/>
    <mergeCell ref="C86:H86"/>
    <mergeCell ref="C87:H87"/>
    <mergeCell ref="C88:H88"/>
  </mergeCells>
  <conditionalFormatting sqref="E65:H65 F69:H69 E7:I8 E9:E11 F45:G45 E61:G61 I61:J61 J8:J10 F48:J50 I81 I54 I65:J69 E62:J63 F11:J11 F23:F44 E12:J22 E51:J53 E55:J60 F66:H67 F76:I79 E23:E45 G23:J45">
    <cfRule type="cellIs" dxfId="7" priority="17" operator="equal">
      <formula>"NA"</formula>
    </cfRule>
    <cfRule type="cellIs" dxfId="6" priority="18" operator="equal">
      <formula>"NA"</formula>
    </cfRule>
  </conditionalFormatting>
  <conditionalFormatting sqref="J76:J79">
    <cfRule type="cellIs" dxfId="5" priority="7" operator="equal">
      <formula>"NA"</formula>
    </cfRule>
    <cfRule type="cellIs" dxfId="4" priority="8" operator="equal">
      <formula>"NA"</formula>
    </cfRule>
  </conditionalFormatting>
  <conditionalFormatting sqref="E66:E69">
    <cfRule type="cellIs" dxfId="3" priority="3" operator="equal">
      <formula>"NA"</formula>
    </cfRule>
    <cfRule type="cellIs" dxfId="2" priority="4" operator="equal">
      <formula>"NA"</formula>
    </cfRule>
  </conditionalFormatting>
  <conditionalFormatting sqref="M65">
    <cfRule type="cellIs" dxfId="1" priority="1" operator="equal">
      <formula>"NA"</formula>
    </cfRule>
    <cfRule type="cellIs" dxfId="0" priority="2" operator="equal">
      <formula>"NA"</formula>
    </cfRule>
  </conditionalFormatting>
  <dataValidations count="4">
    <dataValidation operator="greaterThanOrEqual" allowBlank="1" showInputMessage="1" showErrorMessage="1" error="Enter Positive values" sqref="F11:I11 J59 I65:J69 I34:J34 I25:J27 F69:H69 I81 I29:J32 I48:I59 J11:J21 I61:J63 J57 J51:J53 I12:I21 F49:H51 I41:J44 I76:I79"/>
    <dataValidation showDropDown="1" showInputMessage="1" showErrorMessage="1" sqref="F8:J10"/>
    <dataValidation operator="greaterThanOrEqual" allowBlank="1" showInputMessage="1" showErrorMessage="1" error="Entor Positive values" sqref="I4"/>
    <dataValidation type="list" showDropDown="1" showInputMessage="1" showErrorMessage="1" sqref="I7">
      <formula1>#REF!</formula1>
    </dataValidation>
  </dataValidations>
  <pageMargins left="0.70866141732283472" right="0" top="0.55118110236220474" bottom="0.15748031496062992" header="0.31496062992125984" footer="0.31496062992125984"/>
  <pageSetup paperSize="9" scale="69" fitToWidth="2" fitToHeight="2" orientation="portrait" r:id="rId2"/>
  <rowBreaks count="1" manualBreakCount="1">
    <brk id="46"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AB42"/>
  <sheetViews>
    <sheetView zoomScaleNormal="100" workbookViewId="0">
      <selection activeCell="L7" sqref="L7"/>
    </sheetView>
  </sheetViews>
  <sheetFormatPr defaultRowHeight="15"/>
  <cols>
    <col min="1" max="1" width="2.28515625" style="513" customWidth="1"/>
    <col min="2" max="2" width="12" style="513" customWidth="1"/>
    <col min="3" max="3" width="5.140625" style="513" customWidth="1"/>
    <col min="4" max="4" width="9.85546875" style="513" customWidth="1"/>
    <col min="5" max="5" width="13.28515625" style="513" customWidth="1"/>
    <col min="6" max="6" width="4.140625" style="513" customWidth="1"/>
    <col min="7" max="7" width="11.85546875" style="513" customWidth="1"/>
    <col min="8" max="8" width="15.5703125" style="513" customWidth="1"/>
    <col min="9" max="9" width="5.42578125" style="513" customWidth="1"/>
    <col min="10" max="10" width="4.42578125" style="513" customWidth="1"/>
    <col min="11" max="11" width="3.85546875" style="513" customWidth="1"/>
    <col min="12" max="12" width="13.140625" style="513" customWidth="1"/>
    <col min="13" max="13" width="9.28515625" style="513" bestFit="1" customWidth="1"/>
    <col min="14" max="14" width="10.28515625" style="513" customWidth="1"/>
    <col min="15" max="15" width="9.140625" style="513"/>
    <col min="16" max="16" width="9.28515625" style="513" bestFit="1" customWidth="1"/>
    <col min="17" max="17" width="10.28515625" style="513" bestFit="1" customWidth="1"/>
    <col min="18" max="19" width="9.140625" style="513"/>
    <col min="20" max="20" width="11.42578125" style="513" bestFit="1" customWidth="1"/>
    <col min="21" max="21" width="11.7109375" style="513" customWidth="1"/>
    <col min="22" max="22" width="11.42578125" style="513" bestFit="1" customWidth="1"/>
    <col min="23" max="24" width="9.140625" style="513"/>
    <col min="25" max="25" width="10.7109375" style="513" customWidth="1"/>
    <col min="26" max="26" width="4.85546875" style="513" customWidth="1"/>
    <col min="27" max="27" width="11.42578125" style="513" customWidth="1"/>
    <col min="28" max="28" width="16.7109375" style="513" customWidth="1"/>
    <col min="29" max="16384" width="9.140625" style="513"/>
  </cols>
  <sheetData>
    <row r="2" spans="2:28" ht="21.75" thickBot="1">
      <c r="L2" s="1130"/>
      <c r="M2" s="1130"/>
      <c r="N2" s="1130"/>
      <c r="O2" s="1130"/>
      <c r="P2" s="1130"/>
      <c r="Q2" s="1130"/>
      <c r="R2" s="1131" t="s">
        <v>955</v>
      </c>
      <c r="S2" s="683" t="s">
        <v>956</v>
      </c>
    </row>
    <row r="3" spans="2:28">
      <c r="AB3" s="1132" t="s">
        <v>891</v>
      </c>
    </row>
    <row r="4" spans="2:28" ht="18">
      <c r="C4" s="1133" t="s">
        <v>863</v>
      </c>
      <c r="E4" s="1134"/>
      <c r="F4" s="1134"/>
      <c r="G4" s="1134"/>
      <c r="H4" s="1134"/>
      <c r="I4" s="1134"/>
      <c r="J4" s="1134"/>
      <c r="K4" s="1134"/>
      <c r="L4" s="1134"/>
      <c r="M4" s="1134"/>
      <c r="N4" s="1134"/>
      <c r="O4" s="1134"/>
      <c r="P4" s="1134"/>
      <c r="Q4" s="1134"/>
      <c r="R4" s="1134"/>
      <c r="S4" s="1134"/>
      <c r="T4" s="1134"/>
      <c r="U4" s="1134"/>
      <c r="V4" s="1134"/>
      <c r="W4" s="1134"/>
      <c r="X4" s="1134"/>
      <c r="Z4" s="1134"/>
      <c r="AA4" s="1134"/>
      <c r="AB4" s="1135" t="s">
        <v>889</v>
      </c>
    </row>
    <row r="5" spans="2:28" ht="16.5">
      <c r="D5" s="1134"/>
      <c r="E5" s="1134"/>
      <c r="F5" s="1134"/>
      <c r="G5" s="1134"/>
      <c r="H5" s="1134"/>
      <c r="I5" s="1134"/>
      <c r="J5" s="1134"/>
      <c r="K5" s="1134"/>
      <c r="L5" s="1136" t="s">
        <v>621</v>
      </c>
      <c r="AB5" s="1137" t="s">
        <v>890</v>
      </c>
    </row>
    <row r="6" spans="2:28" ht="15.75" thickBot="1">
      <c r="D6" s="1134"/>
      <c r="E6" s="1134"/>
      <c r="F6" s="1134"/>
      <c r="G6" s="1134"/>
      <c r="H6" s="1134"/>
      <c r="I6" s="1134"/>
      <c r="J6" s="1134"/>
      <c r="K6" s="1134"/>
      <c r="L6" s="1134"/>
      <c r="N6" s="1134"/>
      <c r="P6" s="1134"/>
      <c r="Q6" s="1134"/>
      <c r="R6" s="1134"/>
      <c r="S6" s="1134"/>
      <c r="T6" s="1134"/>
      <c r="AA6" s="1138"/>
      <c r="AB6" s="1139" t="s">
        <v>958</v>
      </c>
    </row>
    <row r="7" spans="2:28">
      <c r="D7" s="1134"/>
      <c r="E7" s="1134"/>
      <c r="F7" s="1134"/>
      <c r="G7" s="1134"/>
      <c r="H7" s="1134"/>
      <c r="I7" s="1134"/>
      <c r="J7" s="1134"/>
      <c r="K7" s="1134"/>
      <c r="L7" s="1134"/>
      <c r="N7" s="1134"/>
      <c r="P7" s="1134"/>
      <c r="Q7" s="1134"/>
      <c r="R7" s="1134"/>
      <c r="S7" s="1134"/>
      <c r="T7" s="1134"/>
    </row>
    <row r="8" spans="2:28" ht="15.75" thickBot="1">
      <c r="N8" s="1134" t="s">
        <v>622</v>
      </c>
    </row>
    <row r="9" spans="2:28">
      <c r="B9" s="1140"/>
      <c r="C9" s="517"/>
      <c r="D9" s="1141"/>
      <c r="E9" s="1142" t="s">
        <v>32</v>
      </c>
      <c r="F9" s="1143"/>
      <c r="G9" s="1144"/>
      <c r="H9" s="1142" t="s">
        <v>623</v>
      </c>
      <c r="J9" s="1145"/>
      <c r="K9" s="542"/>
      <c r="L9" s="542"/>
      <c r="M9" s="542"/>
      <c r="N9" s="542"/>
      <c r="O9" s="542"/>
      <c r="P9" s="542"/>
      <c r="Q9" s="542"/>
      <c r="R9" s="542"/>
      <c r="S9" s="542"/>
      <c r="T9" s="542"/>
      <c r="U9" s="542"/>
      <c r="V9" s="542"/>
      <c r="W9" s="542"/>
      <c r="X9" s="542"/>
      <c r="Y9" s="542"/>
      <c r="Z9" s="543"/>
      <c r="AA9" s="517"/>
      <c r="AB9" s="517"/>
    </row>
    <row r="10" spans="2:28">
      <c r="B10" s="1146" t="s">
        <v>36</v>
      </c>
      <c r="C10" s="1143"/>
      <c r="D10" s="1147"/>
      <c r="E10" s="1148" t="s">
        <v>624</v>
      </c>
      <c r="F10" s="1143"/>
      <c r="G10" s="1149"/>
      <c r="H10" s="1148" t="s">
        <v>625</v>
      </c>
      <c r="J10" s="1150"/>
      <c r="K10" s="517"/>
      <c r="L10" s="517"/>
      <c r="M10" s="517"/>
      <c r="N10" s="546">
        <f>'Sd_Form 1'!I120/10</f>
        <v>0</v>
      </c>
      <c r="O10" s="544" t="s">
        <v>626</v>
      </c>
      <c r="P10" s="517"/>
      <c r="Q10" s="517"/>
      <c r="R10" s="1151"/>
      <c r="S10" s="1152"/>
      <c r="T10" s="1152"/>
      <c r="U10" s="1153"/>
      <c r="V10" s="517"/>
      <c r="W10" s="517"/>
      <c r="X10" s="517"/>
      <c r="Y10" s="517"/>
      <c r="Z10" s="1154"/>
      <c r="AA10" s="517"/>
      <c r="AB10" s="517"/>
    </row>
    <row r="11" spans="2:28">
      <c r="B11" s="1155"/>
      <c r="C11" s="517"/>
      <c r="D11" s="1156"/>
      <c r="E11" s="1157" t="s">
        <v>627</v>
      </c>
      <c r="F11" s="1143"/>
      <c r="G11" s="1158"/>
      <c r="H11" s="1157" t="s">
        <v>628</v>
      </c>
      <c r="J11" s="1150"/>
      <c r="K11" s="517"/>
      <c r="L11" s="517"/>
      <c r="M11" s="517"/>
      <c r="N11" s="546">
        <v>0</v>
      </c>
      <c r="O11" s="544" t="s">
        <v>10</v>
      </c>
      <c r="P11" s="517"/>
      <c r="Q11" s="517"/>
      <c r="R11" s="1159"/>
      <c r="U11" s="1160"/>
      <c r="V11" s="517"/>
      <c r="W11" s="517"/>
      <c r="X11" s="517"/>
      <c r="Y11" s="517"/>
      <c r="Z11" s="1154"/>
      <c r="AA11" s="517"/>
      <c r="AB11" s="517"/>
    </row>
    <row r="12" spans="2:28">
      <c r="J12" s="1150"/>
      <c r="K12" s="517"/>
      <c r="L12" s="517"/>
      <c r="M12" s="517"/>
      <c r="N12" s="517"/>
      <c r="O12" s="544"/>
      <c r="P12" s="517"/>
      <c r="Q12" s="517"/>
      <c r="R12" s="1159"/>
      <c r="S12" s="1161" t="s">
        <v>629</v>
      </c>
      <c r="T12" s="1162" t="s">
        <v>630</v>
      </c>
      <c r="U12" s="1160"/>
      <c r="V12" s="517"/>
      <c r="W12" s="517"/>
      <c r="X12" s="517"/>
      <c r="Y12" s="517"/>
      <c r="Z12" s="1154"/>
      <c r="AA12" s="517"/>
      <c r="AB12" s="517"/>
    </row>
    <row r="13" spans="2:28">
      <c r="B13" s="1140" t="s">
        <v>862</v>
      </c>
      <c r="C13" s="517"/>
      <c r="D13" s="1068">
        <f>'Sd_Form 1'!I76*'Sd_Form 1'!I77</f>
        <v>0</v>
      </c>
      <c r="E13" s="1163" t="s">
        <v>631</v>
      </c>
      <c r="F13" s="1164"/>
      <c r="G13" s="546">
        <f>D13</f>
        <v>0</v>
      </c>
      <c r="H13" s="1163" t="s">
        <v>631</v>
      </c>
      <c r="J13" s="1150"/>
      <c r="K13" s="517"/>
      <c r="L13" s="517"/>
      <c r="M13" s="517"/>
      <c r="N13" s="546">
        <f>D13</f>
        <v>0</v>
      </c>
      <c r="O13" s="1165" t="s">
        <v>10</v>
      </c>
      <c r="P13" s="517"/>
      <c r="Q13" s="517"/>
      <c r="R13" s="1159"/>
      <c r="S13" s="517"/>
      <c r="T13" s="517"/>
      <c r="U13" s="1160"/>
      <c r="V13" s="517"/>
      <c r="W13" s="517"/>
      <c r="X13" s="517"/>
      <c r="Y13" s="517"/>
      <c r="Z13" s="1154"/>
      <c r="AA13" s="517"/>
      <c r="AB13" s="517"/>
    </row>
    <row r="14" spans="2:28">
      <c r="B14" s="1155" t="s">
        <v>279</v>
      </c>
      <c r="C14" s="517"/>
      <c r="D14" s="1166">
        <f>'Sd_Form 1'!I75</f>
        <v>0</v>
      </c>
      <c r="E14" s="1167" t="s">
        <v>278</v>
      </c>
      <c r="F14" s="1164"/>
      <c r="G14" s="546">
        <f>D14</f>
        <v>0</v>
      </c>
      <c r="H14" s="1167" t="s">
        <v>278</v>
      </c>
      <c r="J14" s="1150"/>
      <c r="K14" s="517"/>
      <c r="L14" s="517"/>
      <c r="M14" s="517"/>
      <c r="N14" s="517"/>
      <c r="O14" s="517"/>
      <c r="P14" s="517"/>
      <c r="Q14" s="517"/>
      <c r="R14" s="1168"/>
      <c r="S14" s="1169"/>
      <c r="T14" s="1169"/>
      <c r="U14" s="1170"/>
      <c r="V14" s="517"/>
      <c r="W14" s="517"/>
      <c r="X14" s="517"/>
      <c r="Y14" s="517"/>
      <c r="Z14" s="1154"/>
      <c r="AA14" s="517"/>
      <c r="AB14" s="517"/>
    </row>
    <row r="15" spans="2:28">
      <c r="D15" s="1171"/>
      <c r="J15" s="1150"/>
      <c r="K15" s="517"/>
      <c r="L15" s="517"/>
      <c r="M15" s="517"/>
      <c r="N15" s="517"/>
      <c r="O15" s="517"/>
      <c r="P15" s="517"/>
      <c r="Q15" s="517" t="s">
        <v>632</v>
      </c>
      <c r="T15" s="1172">
        <f>'Tech annexure'!J58-'Tech annexure'!J26</f>
        <v>0</v>
      </c>
      <c r="U15" s="517" t="s">
        <v>633</v>
      </c>
      <c r="V15" s="517"/>
      <c r="W15" s="517"/>
      <c r="X15" s="517"/>
      <c r="Y15" s="517"/>
      <c r="Z15" s="1154"/>
      <c r="AA15" s="517" t="s">
        <v>634</v>
      </c>
      <c r="AB15" s="517"/>
    </row>
    <row r="16" spans="2:28">
      <c r="B16" s="1140" t="s">
        <v>635</v>
      </c>
      <c r="C16" s="517"/>
      <c r="D16" s="1068">
        <v>0</v>
      </c>
      <c r="E16" s="1163" t="s">
        <v>636</v>
      </c>
      <c r="F16" s="1164"/>
      <c r="G16" s="546"/>
      <c r="H16" s="1163" t="s">
        <v>636</v>
      </c>
      <c r="I16" s="517"/>
      <c r="J16" s="1150"/>
      <c r="K16" s="517"/>
      <c r="L16" s="517"/>
      <c r="M16" s="517"/>
      <c r="N16" s="517"/>
      <c r="O16" s="546"/>
      <c r="P16" s="1172">
        <f>'Sd_Form 1'!I130</f>
        <v>0</v>
      </c>
      <c r="Q16" s="517" t="s">
        <v>858</v>
      </c>
      <c r="R16" s="517"/>
      <c r="T16" s="517"/>
      <c r="U16" s="517"/>
      <c r="V16" s="517"/>
      <c r="W16" s="517"/>
      <c r="X16" s="517"/>
      <c r="Y16" s="517"/>
      <c r="Z16" s="1154"/>
      <c r="AA16" s="517" t="s">
        <v>637</v>
      </c>
      <c r="AB16" s="517"/>
    </row>
    <row r="17" spans="2:28">
      <c r="B17" s="1155"/>
      <c r="C17" s="517"/>
      <c r="D17" s="1068">
        <v>0</v>
      </c>
      <c r="E17" s="1167" t="s">
        <v>652</v>
      </c>
      <c r="F17" s="1164"/>
      <c r="G17" s="1173"/>
      <c r="H17" s="1167" t="s">
        <v>652</v>
      </c>
      <c r="I17" s="517"/>
      <c r="J17" s="1150"/>
      <c r="K17" s="517"/>
      <c r="L17" s="517"/>
      <c r="M17" s="517"/>
      <c r="N17" s="517"/>
      <c r="O17" s="517"/>
      <c r="P17" s="517"/>
      <c r="Q17" s="517"/>
      <c r="R17" s="517"/>
      <c r="S17" s="517"/>
      <c r="T17" s="517"/>
      <c r="U17" s="517"/>
      <c r="V17" s="517"/>
      <c r="W17" s="517"/>
      <c r="X17" s="517"/>
      <c r="Y17" s="517"/>
      <c r="Z17" s="1154"/>
      <c r="AA17" s="517"/>
      <c r="AB17" s="517"/>
    </row>
    <row r="18" spans="2:28">
      <c r="B18" s="517"/>
      <c r="C18" s="517"/>
      <c r="D18" s="1174"/>
      <c r="E18" s="517"/>
      <c r="F18" s="517"/>
      <c r="G18" s="517"/>
      <c r="H18" s="517"/>
      <c r="I18" s="517"/>
      <c r="J18" s="1150"/>
      <c r="K18" s="517"/>
      <c r="L18" s="517"/>
      <c r="M18" s="517"/>
      <c r="N18" s="517"/>
      <c r="O18" s="517"/>
      <c r="P18" s="517"/>
      <c r="Q18" s="517"/>
      <c r="R18" s="517"/>
      <c r="S18" s="517"/>
      <c r="T18" s="517"/>
      <c r="U18" s="517" t="s">
        <v>638</v>
      </c>
      <c r="V18" s="517"/>
      <c r="W18" s="517"/>
      <c r="X18" s="517"/>
      <c r="Y18" s="517"/>
      <c r="Z18" s="1154"/>
      <c r="AA18" s="517"/>
      <c r="AB18" s="1175"/>
    </row>
    <row r="19" spans="2:28">
      <c r="B19" s="1140" t="s">
        <v>584</v>
      </c>
      <c r="C19" s="517"/>
      <c r="D19" s="1068">
        <v>0</v>
      </c>
      <c r="E19" s="1163" t="s">
        <v>631</v>
      </c>
      <c r="F19" s="1164"/>
      <c r="G19" s="1172"/>
      <c r="H19" s="1163" t="s">
        <v>631</v>
      </c>
      <c r="I19" s="517"/>
      <c r="J19" s="1150"/>
      <c r="K19" s="517"/>
      <c r="L19" s="517"/>
      <c r="M19" s="517"/>
      <c r="N19" s="517"/>
      <c r="O19" s="517"/>
      <c r="P19" s="517"/>
      <c r="Q19" s="517"/>
      <c r="R19" s="517"/>
      <c r="S19" s="517"/>
      <c r="T19" s="546"/>
      <c r="U19" s="517" t="s">
        <v>639</v>
      </c>
      <c r="V19" s="517"/>
      <c r="W19" s="517"/>
      <c r="X19" s="517"/>
      <c r="Y19" s="517"/>
      <c r="Z19" s="1154"/>
      <c r="AA19" s="517"/>
      <c r="AB19" s="517"/>
    </row>
    <row r="20" spans="2:28">
      <c r="B20" s="1155"/>
      <c r="C20" s="517"/>
      <c r="D20" s="1176">
        <v>0</v>
      </c>
      <c r="E20" s="1167" t="s">
        <v>668</v>
      </c>
      <c r="F20" s="1164"/>
      <c r="G20" s="1177"/>
      <c r="H20" s="1167" t="s">
        <v>668</v>
      </c>
      <c r="I20" s="517"/>
      <c r="J20" s="1150"/>
      <c r="K20" s="517"/>
      <c r="L20" s="517"/>
      <c r="M20" s="517"/>
      <c r="N20" s="517"/>
      <c r="O20" s="517"/>
      <c r="P20" s="517"/>
      <c r="Q20" s="1172">
        <f>'Tech annexure'!J26</f>
        <v>0</v>
      </c>
      <c r="R20" s="517"/>
      <c r="S20" s="517"/>
      <c r="T20" s="517"/>
      <c r="U20" s="517"/>
      <c r="V20" s="517"/>
      <c r="W20" s="517"/>
      <c r="X20" s="517"/>
      <c r="Y20" s="517"/>
      <c r="Z20" s="1154"/>
      <c r="AA20" s="517"/>
      <c r="AB20" s="517"/>
    </row>
    <row r="21" spans="2:28">
      <c r="J21" s="1150"/>
      <c r="K21" s="517"/>
      <c r="L21" s="517"/>
      <c r="M21" s="517"/>
      <c r="N21" s="1172">
        <f>'Tech annexure'!J30</f>
        <v>0</v>
      </c>
      <c r="O21" s="517" t="s">
        <v>859</v>
      </c>
      <c r="P21" s="517"/>
      <c r="Q21" s="517" t="s">
        <v>10</v>
      </c>
      <c r="R21" s="517"/>
      <c r="S21" s="517"/>
      <c r="T21" s="517"/>
      <c r="U21" s="517"/>
      <c r="V21" s="517"/>
      <c r="W21" s="517"/>
      <c r="X21" s="517"/>
      <c r="Y21" s="1172">
        <f>'Tech annexure'!J66</f>
        <v>0</v>
      </c>
      <c r="Z21" s="1154"/>
      <c r="AA21" s="517"/>
      <c r="AB21" s="517"/>
    </row>
    <row r="22" spans="2:28">
      <c r="J22" s="1150"/>
      <c r="K22" s="517"/>
      <c r="L22" s="517"/>
      <c r="M22" s="517"/>
      <c r="N22" s="517"/>
      <c r="P22" s="517"/>
      <c r="Q22" s="517"/>
      <c r="R22" s="517"/>
      <c r="S22" s="517"/>
      <c r="T22" s="517"/>
      <c r="U22" s="517"/>
      <c r="V22" s="1172">
        <f>'Tech annexure'!J58</f>
        <v>0</v>
      </c>
      <c r="W22" s="544" t="s">
        <v>10</v>
      </c>
      <c r="X22" s="517"/>
      <c r="Y22" s="517" t="s">
        <v>550</v>
      </c>
      <c r="Z22" s="1154"/>
      <c r="AA22" s="517"/>
      <c r="AB22" s="517"/>
    </row>
    <row r="23" spans="2:28">
      <c r="J23" s="1150"/>
      <c r="K23" s="517"/>
      <c r="L23" s="544" t="s">
        <v>563</v>
      </c>
      <c r="M23" s="1172">
        <f>'Tech annexure'!J16</f>
        <v>0</v>
      </c>
      <c r="N23" s="517" t="s">
        <v>10</v>
      </c>
      <c r="O23" s="1151"/>
      <c r="P23" s="1152"/>
      <c r="Q23" s="1153"/>
      <c r="R23" s="517"/>
      <c r="S23" s="517"/>
      <c r="T23" s="517"/>
      <c r="U23" s="517"/>
      <c r="V23" s="517"/>
      <c r="W23" s="517"/>
      <c r="X23" s="517"/>
      <c r="Y23" s="517"/>
      <c r="Z23" s="1154"/>
      <c r="AA23" s="517"/>
      <c r="AB23" s="517"/>
    </row>
    <row r="24" spans="2:28">
      <c r="J24" s="1150"/>
      <c r="K24" s="517"/>
      <c r="L24" s="517"/>
      <c r="M24" s="517"/>
      <c r="N24" s="517"/>
      <c r="O24" s="1159"/>
      <c r="P24" s="517"/>
      <c r="Q24" s="1160"/>
      <c r="R24" s="517"/>
      <c r="S24" s="517"/>
      <c r="T24" s="517"/>
      <c r="U24" s="517"/>
      <c r="V24" s="517"/>
      <c r="W24" s="517"/>
      <c r="X24" s="517"/>
      <c r="Y24" s="517"/>
      <c r="Z24" s="1154"/>
      <c r="AA24" s="517"/>
      <c r="AB24" s="517"/>
    </row>
    <row r="25" spans="2:28">
      <c r="B25" s="1140" t="s">
        <v>640</v>
      </c>
      <c r="C25" s="517"/>
      <c r="D25" s="1178">
        <f>'Sd_Form 1'!I245/10</f>
        <v>0</v>
      </c>
      <c r="E25" s="1179" t="s">
        <v>871</v>
      </c>
      <c r="F25" s="1164"/>
      <c r="G25" s="1178">
        <f>'Sd_Form 1'!I246/10</f>
        <v>0</v>
      </c>
      <c r="H25" s="1179" t="s">
        <v>871</v>
      </c>
      <c r="J25" s="1150"/>
      <c r="K25" s="517"/>
      <c r="L25" s="544" t="s">
        <v>563</v>
      </c>
      <c r="M25" s="1172">
        <f>'Tech annexure'!J14</f>
        <v>0</v>
      </c>
      <c r="N25" s="517" t="s">
        <v>180</v>
      </c>
      <c r="O25" s="1159"/>
      <c r="P25" s="517"/>
      <c r="Q25" s="1160"/>
      <c r="R25" s="517"/>
      <c r="S25" s="517"/>
      <c r="T25" s="517"/>
      <c r="U25" s="517"/>
      <c r="V25" s="517"/>
      <c r="W25" s="1151"/>
      <c r="X25" s="1152"/>
      <c r="Y25" s="1153"/>
      <c r="Z25" s="1154"/>
      <c r="AA25" s="1381" t="s">
        <v>641</v>
      </c>
      <c r="AB25" s="1382"/>
    </row>
    <row r="26" spans="2:28">
      <c r="B26" s="1155" t="s">
        <v>279</v>
      </c>
      <c r="C26" s="517"/>
      <c r="D26" s="1180">
        <f>'Tech annexure'!J17</f>
        <v>0</v>
      </c>
      <c r="E26" s="1181" t="s">
        <v>198</v>
      </c>
      <c r="F26" s="1164"/>
      <c r="G26" s="1182">
        <f>D26</f>
        <v>0</v>
      </c>
      <c r="H26" s="1181" t="s">
        <v>198</v>
      </c>
      <c r="J26" s="1150"/>
      <c r="K26" s="517"/>
      <c r="L26" s="517"/>
      <c r="M26" s="517"/>
      <c r="N26" s="517"/>
      <c r="O26" s="1383" t="s">
        <v>2</v>
      </c>
      <c r="P26" s="1382"/>
      <c r="Q26" s="1384"/>
      <c r="R26" s="517"/>
      <c r="S26" s="517"/>
      <c r="T26" s="517"/>
      <c r="U26" s="517" t="s">
        <v>2</v>
      </c>
      <c r="V26" s="517"/>
      <c r="W26" s="1159"/>
      <c r="X26" s="1161" t="s">
        <v>3</v>
      </c>
      <c r="Y26" s="1160"/>
      <c r="Z26" s="1154"/>
      <c r="AA26" s="517"/>
      <c r="AB26" s="517" t="s">
        <v>10</v>
      </c>
    </row>
    <row r="27" spans="2:28">
      <c r="J27" s="1150"/>
      <c r="K27" s="517"/>
      <c r="L27" s="517" t="s">
        <v>642</v>
      </c>
      <c r="M27" s="1172">
        <f>'Tech annexure'!J13</f>
        <v>0</v>
      </c>
      <c r="N27" s="517" t="s">
        <v>180</v>
      </c>
      <c r="O27" s="1383" t="s">
        <v>643</v>
      </c>
      <c r="P27" s="1382"/>
      <c r="Q27" s="1384"/>
      <c r="R27" s="517"/>
      <c r="S27" s="517"/>
      <c r="T27" s="517"/>
      <c r="U27" s="1183">
        <f>'Tech annexure'!J62</f>
        <v>0</v>
      </c>
      <c r="V27" s="517"/>
      <c r="W27" s="1159"/>
      <c r="X27" s="1161" t="s">
        <v>643</v>
      </c>
      <c r="Y27" s="1160"/>
      <c r="Z27" s="517"/>
      <c r="AA27" s="1172">
        <f>'Tech annexure'!J51</f>
        <v>0</v>
      </c>
      <c r="AB27" s="517"/>
    </row>
    <row r="28" spans="2:28">
      <c r="B28" s="1179" t="s">
        <v>644</v>
      </c>
      <c r="C28" s="1164"/>
      <c r="D28" s="1184" t="e">
        <f>'Sd_Form 1'!I256/'Sd_Form 1'!I254</f>
        <v>#DIV/0!</v>
      </c>
      <c r="E28" s="1179" t="s">
        <v>669</v>
      </c>
      <c r="F28" s="1164"/>
      <c r="G28" s="1184" t="e">
        <f>'Sd_Form 1'!I257/'Sd_Form 1'!I254</f>
        <v>#DIV/0!</v>
      </c>
      <c r="H28" s="1179" t="s">
        <v>645</v>
      </c>
      <c r="J28" s="1150"/>
      <c r="K28" s="517"/>
      <c r="L28" s="517"/>
      <c r="M28" s="517"/>
      <c r="N28" s="517"/>
      <c r="O28" s="1159"/>
      <c r="P28" s="517"/>
      <c r="Q28" s="1160"/>
      <c r="R28" s="517"/>
      <c r="S28" s="517"/>
      <c r="T28" s="517"/>
      <c r="U28" s="517"/>
      <c r="V28" s="517"/>
      <c r="W28" s="1159"/>
      <c r="X28" s="517"/>
      <c r="Y28" s="1160"/>
      <c r="Z28" s="1154"/>
      <c r="AA28" s="517"/>
      <c r="AB28" s="517"/>
    </row>
    <row r="29" spans="2:28">
      <c r="B29" s="1155" t="s">
        <v>279</v>
      </c>
      <c r="C29" s="517"/>
      <c r="D29" s="1182">
        <f>'Sd_Form 1'!I253</f>
        <v>0</v>
      </c>
      <c r="E29" s="1181" t="s">
        <v>278</v>
      </c>
      <c r="F29" s="1164"/>
      <c r="G29" s="1182">
        <f>D29</f>
        <v>0</v>
      </c>
      <c r="H29" s="1181" t="s">
        <v>278</v>
      </c>
      <c r="J29" s="1150"/>
      <c r="K29" s="517"/>
      <c r="L29" s="517" t="s">
        <v>642</v>
      </c>
      <c r="M29" s="1172">
        <f>'Tech annexure'!J15</f>
        <v>0</v>
      </c>
      <c r="N29" s="517" t="s">
        <v>10</v>
      </c>
      <c r="O29" s="1159"/>
      <c r="P29" s="517"/>
      <c r="Q29" s="1160"/>
      <c r="R29" s="517"/>
      <c r="S29" s="517"/>
      <c r="T29" s="517"/>
      <c r="U29" s="517"/>
      <c r="V29" s="517"/>
      <c r="W29" s="1168"/>
      <c r="X29" s="1169"/>
      <c r="Y29" s="1170"/>
      <c r="Z29" s="1154"/>
      <c r="AA29" s="517"/>
      <c r="AB29" s="517"/>
    </row>
    <row r="30" spans="2:28">
      <c r="B30" s="517"/>
      <c r="C30" s="517"/>
      <c r="D30" s="517"/>
      <c r="E30" s="517"/>
      <c r="F30" s="517"/>
      <c r="G30" s="517"/>
      <c r="H30" s="517"/>
      <c r="J30" s="1150"/>
      <c r="K30" s="517"/>
      <c r="L30" s="517"/>
      <c r="N30" s="517"/>
      <c r="O30" s="1159"/>
      <c r="P30" s="517"/>
      <c r="Q30" s="1160"/>
      <c r="R30" s="517"/>
      <c r="S30" s="517"/>
      <c r="V30" s="517"/>
      <c r="W30" s="517"/>
      <c r="X30" s="517"/>
      <c r="Y30" s="517"/>
      <c r="Z30" s="1154"/>
      <c r="AA30" s="1381" t="s">
        <v>2</v>
      </c>
      <c r="AB30" s="1382"/>
    </row>
    <row r="31" spans="2:28">
      <c r="J31" s="1150"/>
      <c r="K31" s="517"/>
      <c r="L31" s="517"/>
      <c r="M31" s="517"/>
      <c r="N31" s="517"/>
      <c r="O31" s="1168"/>
      <c r="P31" s="1169"/>
      <c r="Q31" s="1170"/>
      <c r="R31" s="517"/>
      <c r="S31" s="517"/>
      <c r="T31" s="517"/>
      <c r="U31" s="517"/>
      <c r="W31" s="517"/>
      <c r="X31" s="517"/>
      <c r="Y31" s="517"/>
      <c r="Z31" s="1154"/>
      <c r="AA31" s="517"/>
      <c r="AB31" s="517"/>
    </row>
    <row r="32" spans="2:28">
      <c r="J32" s="1150"/>
      <c r="K32" s="517"/>
      <c r="L32" s="517"/>
      <c r="M32" s="517"/>
      <c r="N32" s="517"/>
      <c r="O32" s="517"/>
      <c r="P32" s="517"/>
      <c r="Q32" s="517"/>
      <c r="R32" s="517"/>
      <c r="S32" s="546"/>
      <c r="T32" s="517"/>
      <c r="U32" s="517"/>
      <c r="V32" s="1172" t="e">
        <f>'Tech annexure'!J45</f>
        <v>#DIV/0!</v>
      </c>
      <c r="W32" s="517" t="s">
        <v>646</v>
      </c>
      <c r="X32" s="517"/>
      <c r="Y32" s="517"/>
      <c r="Z32" s="1154"/>
      <c r="AA32" s="517" t="s">
        <v>647</v>
      </c>
      <c r="AB32" s="517"/>
    </row>
    <row r="33" spans="9:28">
      <c r="J33" s="1150"/>
      <c r="K33" s="517"/>
      <c r="L33" s="517"/>
      <c r="M33" s="517"/>
      <c r="N33" s="517"/>
      <c r="O33" s="517"/>
      <c r="P33" s="517"/>
      <c r="Q33" s="517"/>
      <c r="R33" s="517"/>
      <c r="S33" s="517" t="s">
        <v>648</v>
      </c>
      <c r="T33" s="517"/>
      <c r="U33" s="517"/>
      <c r="V33" s="517"/>
      <c r="W33" s="517"/>
      <c r="X33" s="517"/>
      <c r="Y33" s="517"/>
      <c r="Z33" s="1154"/>
      <c r="AA33" s="517" t="s">
        <v>649</v>
      </c>
      <c r="AB33" s="546"/>
    </row>
    <row r="34" spans="9:28">
      <c r="J34" s="1150"/>
      <c r="K34" s="517"/>
      <c r="L34" s="517"/>
      <c r="M34" s="517"/>
      <c r="N34" s="517"/>
      <c r="O34" s="517"/>
      <c r="P34" s="517"/>
      <c r="Q34" s="517"/>
      <c r="R34" s="517"/>
      <c r="S34" s="517"/>
      <c r="T34" s="517"/>
      <c r="U34" s="517"/>
      <c r="V34" s="517"/>
      <c r="W34" s="517"/>
      <c r="X34" s="517"/>
      <c r="Y34" s="517"/>
      <c r="Z34" s="1154"/>
      <c r="AA34" s="517"/>
      <c r="AB34" s="517"/>
    </row>
    <row r="35" spans="9:28">
      <c r="J35" s="1150"/>
      <c r="K35" s="517"/>
      <c r="L35" s="517"/>
      <c r="M35" s="517"/>
      <c r="N35" s="546"/>
      <c r="O35" s="517"/>
      <c r="P35" s="517"/>
      <c r="Q35" s="517"/>
      <c r="R35" s="1151"/>
      <c r="S35" s="1152"/>
      <c r="T35" s="1153"/>
      <c r="U35" s="517"/>
      <c r="V35" s="517"/>
      <c r="W35" s="517"/>
      <c r="X35" s="517"/>
      <c r="Y35" s="517"/>
      <c r="Z35" s="1154"/>
      <c r="AA35" s="517"/>
      <c r="AB35" s="517"/>
    </row>
    <row r="36" spans="9:28">
      <c r="J36" s="1150"/>
      <c r="K36" s="517"/>
      <c r="L36" s="517"/>
      <c r="M36" s="517"/>
      <c r="N36" s="517"/>
      <c r="O36" s="517"/>
      <c r="P36" s="517"/>
      <c r="Q36" s="517"/>
      <c r="R36" s="1147"/>
      <c r="S36" s="1161" t="s">
        <v>650</v>
      </c>
      <c r="T36" s="1185"/>
      <c r="U36" s="517"/>
      <c r="V36" s="517"/>
      <c r="W36" s="517"/>
      <c r="X36" s="517"/>
      <c r="Y36" s="517"/>
      <c r="Z36" s="1154"/>
      <c r="AA36" s="517"/>
      <c r="AB36" s="517"/>
    </row>
    <row r="37" spans="9:28">
      <c r="J37" s="1150"/>
      <c r="K37" s="517"/>
      <c r="L37" s="517"/>
      <c r="M37" s="517"/>
      <c r="N37" s="546"/>
      <c r="O37" s="517"/>
      <c r="P37" s="517"/>
      <c r="Q37" s="517"/>
      <c r="R37" s="1147"/>
      <c r="S37" s="1161" t="s">
        <v>651</v>
      </c>
      <c r="T37" s="1185"/>
      <c r="U37" s="517"/>
      <c r="V37" s="517"/>
      <c r="W37" s="517"/>
      <c r="X37" s="517"/>
      <c r="Y37" s="517"/>
      <c r="Z37" s="1154"/>
      <c r="AA37" s="517"/>
      <c r="AB37" s="517"/>
    </row>
    <row r="38" spans="9:28">
      <c r="J38" s="1150"/>
      <c r="K38" s="517"/>
      <c r="L38" s="517"/>
      <c r="M38" s="517"/>
      <c r="N38" s="517"/>
      <c r="O38" s="517"/>
      <c r="P38" s="517"/>
      <c r="Q38" s="517"/>
      <c r="R38" s="1168"/>
      <c r="S38" s="1169"/>
      <c r="T38" s="1170"/>
      <c r="U38" s="517"/>
      <c r="V38" s="517"/>
      <c r="W38" s="517"/>
      <c r="X38" s="517"/>
      <c r="Y38" s="517"/>
      <c r="Z38" s="1154"/>
      <c r="AA38" s="517"/>
      <c r="AB38" s="517"/>
    </row>
    <row r="39" spans="9:28" ht="15.75" thickBot="1">
      <c r="J39" s="1186"/>
      <c r="K39" s="518"/>
      <c r="L39" s="518"/>
      <c r="M39" s="518"/>
      <c r="N39" s="518"/>
      <c r="O39" s="518"/>
      <c r="P39" s="518"/>
      <c r="Q39" s="518"/>
      <c r="R39" s="518"/>
      <c r="S39" s="518"/>
      <c r="T39" s="518"/>
      <c r="U39" s="518"/>
      <c r="V39" s="518"/>
      <c r="W39" s="518"/>
      <c r="X39" s="518"/>
      <c r="Y39" s="518"/>
      <c r="Z39" s="1187"/>
      <c r="AA39" s="517"/>
      <c r="AB39" s="517"/>
    </row>
    <row r="40" spans="9:28">
      <c r="I40" s="517"/>
      <c r="J40" s="517"/>
      <c r="K40" s="517"/>
      <c r="L40" s="517"/>
      <c r="M40" s="517"/>
      <c r="N40" s="517"/>
      <c r="O40" s="517"/>
      <c r="P40" s="517"/>
      <c r="Q40" s="517"/>
      <c r="R40" s="517"/>
      <c r="S40" s="517"/>
      <c r="T40" s="517"/>
      <c r="U40" s="517"/>
      <c r="V40" s="517"/>
      <c r="W40" s="517"/>
      <c r="X40" s="517"/>
      <c r="Y40" s="517"/>
      <c r="Z40" s="517"/>
    </row>
    <row r="41" spans="9:28">
      <c r="J41" s="517"/>
      <c r="K41" s="517"/>
      <c r="L41" s="517"/>
      <c r="M41" s="517"/>
      <c r="N41" s="517"/>
      <c r="O41" s="517"/>
      <c r="P41" s="517"/>
      <c r="Q41" s="517"/>
      <c r="R41" s="517"/>
      <c r="S41" s="517"/>
      <c r="T41" s="517"/>
      <c r="U41" s="517"/>
      <c r="V41" s="517"/>
      <c r="W41" s="517"/>
      <c r="X41" s="517"/>
      <c r="Y41" s="517"/>
      <c r="Z41" s="517"/>
      <c r="AA41" s="517"/>
    </row>
    <row r="42" spans="9:28">
      <c r="J42" s="517"/>
      <c r="K42" s="517"/>
      <c r="L42" s="517"/>
      <c r="M42" s="517"/>
      <c r="N42" s="517"/>
      <c r="O42" s="517"/>
      <c r="P42" s="517"/>
      <c r="Q42" s="517"/>
      <c r="R42" s="517"/>
      <c r="S42" s="517"/>
      <c r="T42" s="517"/>
      <c r="U42" s="517"/>
      <c r="V42" s="517"/>
      <c r="W42" s="517"/>
      <c r="X42" s="517"/>
      <c r="Y42" s="517"/>
      <c r="Z42" s="517"/>
      <c r="AA42" s="517"/>
    </row>
  </sheetData>
  <customSheetViews>
    <customSheetView guid="{5D90FF31-AD5C-4A69-A320-8978B095DFD4}" scale="80" topLeftCell="C6">
      <selection activeCell="C6" sqref="A1:XFD1048576"/>
      <pageMargins left="0.7" right="0.7" top="0.75" bottom="0.75" header="0.3" footer="0.3"/>
      <pageSetup orientation="portrait" verticalDpi="0" r:id="rId1"/>
    </customSheetView>
  </customSheetViews>
  <mergeCells count="4">
    <mergeCell ref="AA25:AB25"/>
    <mergeCell ref="O26:Q26"/>
    <mergeCell ref="O27:Q27"/>
    <mergeCell ref="AA30:AB30"/>
  </mergeCells>
  <pageMargins left="0" right="0" top="0.74803149606299213" bottom="0" header="0.31496062992125984" footer="0.31496062992125984"/>
  <pageSetup scale="51"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44"/>
  <sheetViews>
    <sheetView topLeftCell="A5" zoomScale="90" zoomScaleNormal="90" zoomScaleSheetLayoutView="80" workbookViewId="0">
      <selection activeCell="I7" sqref="I7:J8"/>
    </sheetView>
  </sheetViews>
  <sheetFormatPr defaultRowHeight="15"/>
  <cols>
    <col min="1" max="1" width="5.85546875" customWidth="1"/>
    <col min="2" max="2" width="7.7109375" customWidth="1"/>
    <col min="3" max="3" width="27.5703125" customWidth="1"/>
    <col min="4" max="4" width="11.140625" style="9" customWidth="1"/>
    <col min="5" max="5" width="18.42578125" customWidth="1"/>
    <col min="6" max="9" width="15.7109375" customWidth="1"/>
    <col min="10" max="10" width="15.7109375" style="1" customWidth="1"/>
    <col min="11" max="11" width="15.7109375" customWidth="1"/>
    <col min="12" max="12" width="25.85546875" customWidth="1"/>
    <col min="15" max="15" width="18.5703125" customWidth="1"/>
  </cols>
  <sheetData>
    <row r="1" spans="1:15">
      <c r="A1" s="64"/>
      <c r="B1" s="187"/>
      <c r="C1" s="64"/>
      <c r="D1" s="182"/>
      <c r="E1" s="187"/>
      <c r="F1" s="187"/>
      <c r="G1" s="187"/>
      <c r="H1" s="187"/>
      <c r="I1" s="187"/>
      <c r="J1" s="187"/>
      <c r="K1" s="64"/>
      <c r="L1" s="64"/>
      <c r="M1" s="64"/>
      <c r="N1" s="64"/>
      <c r="O1" s="64"/>
    </row>
    <row r="2" spans="1:15" ht="18.75">
      <c r="A2" s="926"/>
      <c r="B2" s="1038" t="s">
        <v>98</v>
      </c>
      <c r="C2" s="1039"/>
      <c r="D2" s="1039"/>
      <c r="E2" s="1040"/>
      <c r="F2" s="1040"/>
      <c r="G2" s="1040"/>
      <c r="H2" s="1040"/>
      <c r="I2" s="1040"/>
      <c r="J2" s="1040"/>
      <c r="K2" s="1039"/>
      <c r="L2" s="1039"/>
      <c r="M2" s="926"/>
      <c r="N2" s="64"/>
      <c r="O2" s="64"/>
    </row>
    <row r="3" spans="1:15" ht="7.5" customHeight="1">
      <c r="A3" s="926"/>
      <c r="B3" s="1040"/>
      <c r="C3" s="1039"/>
      <c r="D3" s="1039"/>
      <c r="E3" s="1040"/>
      <c r="F3" s="1040"/>
      <c r="G3" s="1040"/>
      <c r="H3" s="1040"/>
      <c r="I3" s="1040"/>
      <c r="J3" s="1040"/>
      <c r="K3" s="1039"/>
      <c r="L3" s="1039"/>
      <c r="M3" s="926"/>
      <c r="N3" s="64"/>
      <c r="O3" s="64"/>
    </row>
    <row r="4" spans="1:15" ht="16.5">
      <c r="A4" s="64"/>
      <c r="B4" s="1389" t="s">
        <v>99</v>
      </c>
      <c r="C4" s="1389"/>
      <c r="D4" s="1389"/>
      <c r="E4" s="1389"/>
      <c r="F4" s="1389"/>
      <c r="G4" s="1389"/>
      <c r="H4" s="1389"/>
      <c r="I4" s="1389"/>
      <c r="J4" s="1389"/>
      <c r="K4" s="1389"/>
      <c r="L4" s="1389"/>
      <c r="M4" s="64"/>
      <c r="N4" s="64"/>
      <c r="O4" s="64"/>
    </row>
    <row r="5" spans="1:15" ht="6" customHeight="1" thickBot="1">
      <c r="A5" s="64"/>
      <c r="B5" s="62"/>
      <c r="C5" s="1041"/>
      <c r="D5" s="1041"/>
      <c r="E5" s="1042"/>
      <c r="F5" s="1042"/>
      <c r="G5" s="1042"/>
      <c r="H5" s="1042"/>
      <c r="I5" s="1042"/>
      <c r="J5" s="1042"/>
      <c r="K5" s="1041"/>
      <c r="L5" s="1041"/>
      <c r="M5" s="64"/>
      <c r="N5" s="64"/>
      <c r="O5" s="64"/>
    </row>
    <row r="6" spans="1:15" ht="16.5" thickBot="1">
      <c r="A6" s="64"/>
      <c r="B6" s="227" t="s">
        <v>0</v>
      </c>
      <c r="C6" s="227" t="s">
        <v>36</v>
      </c>
      <c r="D6" s="227" t="s">
        <v>37</v>
      </c>
      <c r="E6" s="227" t="s">
        <v>38</v>
      </c>
      <c r="F6" s="227"/>
      <c r="G6" s="1386" t="s">
        <v>839</v>
      </c>
      <c r="H6" s="1387"/>
      <c r="I6" s="1387"/>
      <c r="J6" s="1388"/>
      <c r="K6" s="1043" t="s">
        <v>838</v>
      </c>
      <c r="L6" s="227" t="s">
        <v>100</v>
      </c>
      <c r="M6" s="64"/>
      <c r="N6" s="64"/>
      <c r="O6" s="394" t="s">
        <v>891</v>
      </c>
    </row>
    <row r="7" spans="1:15" ht="51" customHeight="1">
      <c r="A7" s="64"/>
      <c r="B7" s="946"/>
      <c r="C7" s="946"/>
      <c r="D7" s="946"/>
      <c r="E7" s="946"/>
      <c r="F7" s="227" t="s">
        <v>931</v>
      </c>
      <c r="G7" s="1377" t="s">
        <v>932</v>
      </c>
      <c r="H7" s="1378"/>
      <c r="I7" s="1278" t="s">
        <v>1030</v>
      </c>
      <c r="J7" s="1279" t="s">
        <v>1031</v>
      </c>
      <c r="K7" s="1390" t="s">
        <v>978</v>
      </c>
      <c r="L7" s="946"/>
      <c r="M7" s="64"/>
      <c r="N7" s="64"/>
      <c r="O7" s="395" t="s">
        <v>889</v>
      </c>
    </row>
    <row r="8" spans="1:15" ht="15.75">
      <c r="A8" s="64"/>
      <c r="B8" s="946"/>
      <c r="C8" s="946"/>
      <c r="D8" s="946"/>
      <c r="E8" s="946"/>
      <c r="F8" s="227" t="s">
        <v>43</v>
      </c>
      <c r="G8" s="227" t="s">
        <v>886</v>
      </c>
      <c r="H8" s="227" t="s">
        <v>887</v>
      </c>
      <c r="I8" s="1310" t="s">
        <v>1025</v>
      </c>
      <c r="J8" s="1311" t="s">
        <v>1026</v>
      </c>
      <c r="K8" s="1391"/>
      <c r="L8" s="946"/>
      <c r="M8" s="64"/>
      <c r="N8" s="64"/>
      <c r="O8" s="396" t="s">
        <v>890</v>
      </c>
    </row>
    <row r="9" spans="1:15" s="2" customFormat="1" ht="38.25" customHeight="1" thickBot="1">
      <c r="A9" s="171"/>
      <c r="B9" s="487">
        <v>1</v>
      </c>
      <c r="C9" s="949" t="s">
        <v>837</v>
      </c>
      <c r="D9" s="191" t="s">
        <v>10</v>
      </c>
      <c r="E9" s="1044" t="s">
        <v>1003</v>
      </c>
      <c r="F9" s="1045">
        <f>'Tech annexure'!F51</f>
        <v>0</v>
      </c>
      <c r="G9" s="1045">
        <f>'Tech annexure'!G51</f>
        <v>0</v>
      </c>
      <c r="H9" s="1045">
        <f>'Tech annexure'!H51</f>
        <v>0</v>
      </c>
      <c r="I9" s="1045">
        <f>'Tech annexure'!I51</f>
        <v>0</v>
      </c>
      <c r="J9" s="1045">
        <f>'Tech annexure'!J51</f>
        <v>0</v>
      </c>
      <c r="K9" s="62" t="s">
        <v>1008</v>
      </c>
      <c r="L9" s="191"/>
      <c r="M9" s="171"/>
      <c r="N9" s="171"/>
      <c r="O9" s="397" t="s">
        <v>958</v>
      </c>
    </row>
    <row r="10" spans="1:15" ht="67.5" customHeight="1">
      <c r="A10" s="64"/>
      <c r="B10" s="487">
        <v>2</v>
      </c>
      <c r="C10" s="191" t="s">
        <v>977</v>
      </c>
      <c r="D10" s="191" t="s">
        <v>40</v>
      </c>
      <c r="E10" s="1044" t="s">
        <v>1002</v>
      </c>
      <c r="F10" s="1046" t="e">
        <f>'Tech annexure'!F80</f>
        <v>#DIV/0!</v>
      </c>
      <c r="G10" s="1046" t="e">
        <f>'Tech annexure'!G80</f>
        <v>#DIV/0!</v>
      </c>
      <c r="H10" s="1046" t="e">
        <f>'Tech annexure'!H80</f>
        <v>#DIV/0!</v>
      </c>
      <c r="I10" s="1046" t="e">
        <f>'Tech annexure'!I80</f>
        <v>#DIV/0!</v>
      </c>
      <c r="J10" s="1046" t="e">
        <f>'Tech annexure'!J80</f>
        <v>#DIV/0!</v>
      </c>
      <c r="K10" s="62" t="s">
        <v>1008</v>
      </c>
      <c r="L10" s="191"/>
      <c r="M10" s="64"/>
      <c r="N10" s="64"/>
      <c r="O10" s="64"/>
    </row>
    <row r="11" spans="1:15" ht="31.5">
      <c r="A11" s="64"/>
      <c r="B11" s="487"/>
      <c r="C11" s="191" t="s">
        <v>840</v>
      </c>
      <c r="D11" s="191" t="s">
        <v>40</v>
      </c>
      <c r="E11" s="1047"/>
      <c r="F11" s="1048" t="e">
        <f t="shared" ref="F11:J11" si="0">F10-2.53</f>
        <v>#DIV/0!</v>
      </c>
      <c r="G11" s="1048" t="e">
        <f t="shared" si="0"/>
        <v>#DIV/0!</v>
      </c>
      <c r="H11" s="1048" t="e">
        <f t="shared" si="0"/>
        <v>#DIV/0!</v>
      </c>
      <c r="I11" s="1048" t="e">
        <f t="shared" si="0"/>
        <v>#DIV/0!</v>
      </c>
      <c r="J11" s="1048" t="e">
        <f t="shared" si="0"/>
        <v>#DIV/0!</v>
      </c>
      <c r="K11" s="62" t="s">
        <v>1008</v>
      </c>
      <c r="L11" s="261"/>
      <c r="M11" s="107"/>
      <c r="N11" s="64"/>
      <c r="O11" s="64"/>
    </row>
    <row r="12" spans="1:15" ht="31.5">
      <c r="A12" s="64"/>
      <c r="B12" s="227">
        <v>3</v>
      </c>
      <c r="C12" s="1049" t="s">
        <v>102</v>
      </c>
      <c r="D12" s="947"/>
      <c r="E12" s="946"/>
      <c r="F12" s="946"/>
      <c r="G12" s="946"/>
      <c r="H12" s="946"/>
      <c r="I12" s="946"/>
      <c r="J12" s="1050"/>
      <c r="K12" s="955"/>
      <c r="L12" s="261"/>
      <c r="M12" s="64"/>
      <c r="N12" s="64"/>
      <c r="O12" s="64"/>
    </row>
    <row r="13" spans="1:15" ht="31.5">
      <c r="A13" s="64"/>
      <c r="B13" s="487">
        <v>3.1</v>
      </c>
      <c r="C13" s="191" t="s">
        <v>103</v>
      </c>
      <c r="D13" s="487" t="s">
        <v>40</v>
      </c>
      <c r="E13" s="1051" t="s">
        <v>1004</v>
      </c>
      <c r="F13" s="1048" t="e">
        <f>'NF_Low cap '!Q19</f>
        <v>#DIV/0!</v>
      </c>
      <c r="G13" s="1048" t="e">
        <f>'NF_Low cap '!R19</f>
        <v>#DIV/0!</v>
      </c>
      <c r="H13" s="1048" t="e">
        <f>'NF_Low cap '!S19</f>
        <v>#DIV/0!</v>
      </c>
      <c r="I13" s="1048" t="e">
        <f>'NF_Low cap '!T19</f>
        <v>#DIV/0!</v>
      </c>
      <c r="J13" s="1048" t="e">
        <f>'NF_Low cap '!U19</f>
        <v>#DIV/0!</v>
      </c>
      <c r="K13" s="634" t="e">
        <f>J13-F13</f>
        <v>#DIV/0!</v>
      </c>
      <c r="L13" s="261"/>
      <c r="M13" s="64"/>
      <c r="N13" s="64"/>
      <c r="O13" s="1052"/>
    </row>
    <row r="14" spans="1:15" s="14" customFormat="1" ht="47.25">
      <c r="A14" s="208"/>
      <c r="B14" s="211">
        <v>3.2</v>
      </c>
      <c r="C14" s="219" t="s">
        <v>105</v>
      </c>
      <c r="D14" s="211" t="s">
        <v>40</v>
      </c>
      <c r="E14" s="1053" t="s">
        <v>1005</v>
      </c>
      <c r="F14" s="1054" t="e">
        <f>'NF_cold start'!N29</f>
        <v>#DIV/0!</v>
      </c>
      <c r="G14" s="1054" t="e">
        <f>'NF_cold start'!O29</f>
        <v>#DIV/0!</v>
      </c>
      <c r="H14" s="1054">
        <f>'NF_cold start'!P29</f>
        <v>0</v>
      </c>
      <c r="I14" s="1054">
        <f>'NF_cold start'!Q29</f>
        <v>0</v>
      </c>
      <c r="J14" s="1054" t="e">
        <f>'NF_cold start'!R29</f>
        <v>#DIV/0!</v>
      </c>
      <c r="K14" s="634" t="e">
        <f t="shared" ref="K14:K16" si="1">J14-F14</f>
        <v>#DIV/0!</v>
      </c>
      <c r="L14" s="1055" t="s">
        <v>104</v>
      </c>
      <c r="M14" s="208"/>
      <c r="N14" s="208"/>
      <c r="O14" s="1052"/>
    </row>
    <row r="15" spans="1:15" ht="52.5" customHeight="1">
      <c r="A15" s="64"/>
      <c r="B15" s="487">
        <v>3.3</v>
      </c>
      <c r="C15" s="191" t="s">
        <v>106</v>
      </c>
      <c r="D15" s="487" t="s">
        <v>40</v>
      </c>
      <c r="E15" s="551" t="s">
        <v>1006</v>
      </c>
      <c r="F15" s="1056" t="e">
        <f>NF_Naphtha!N30</f>
        <v>#DIV/0!</v>
      </c>
      <c r="G15" s="1056" t="e">
        <f>NF_Naphtha!O30</f>
        <v>#DIV/0!</v>
      </c>
      <c r="H15" s="1056" t="e">
        <f>NF_Naphtha!P30</f>
        <v>#DIV/0!</v>
      </c>
      <c r="I15" s="1056" t="e">
        <f>NF_Naphtha!Q30</f>
        <v>#DIV/0!</v>
      </c>
      <c r="J15" s="1056" t="e">
        <f>NF_Naphtha!R30</f>
        <v>#DIV/0!</v>
      </c>
      <c r="K15" s="634" t="e">
        <f t="shared" si="1"/>
        <v>#DIV/0!</v>
      </c>
      <c r="L15" s="261" t="s">
        <v>104</v>
      </c>
      <c r="M15" s="64"/>
      <c r="N15" s="64"/>
      <c r="O15" s="64"/>
    </row>
    <row r="16" spans="1:15" s="2" customFormat="1" ht="52.5" customHeight="1">
      <c r="A16" s="171"/>
      <c r="B16" s="487">
        <v>3.4</v>
      </c>
      <c r="C16" s="191" t="s">
        <v>107</v>
      </c>
      <c r="D16" s="487" t="s">
        <v>40</v>
      </c>
      <c r="E16" s="1057" t="s">
        <v>1007</v>
      </c>
      <c r="F16" s="1056" t="e">
        <f>'NF_catalyst red'!N51</f>
        <v>#DIV/0!</v>
      </c>
      <c r="G16" s="1056" t="e">
        <f>'NF_catalyst red'!O51</f>
        <v>#DIV/0!</v>
      </c>
      <c r="H16" s="1056" t="e">
        <f>'NF_catalyst red'!P51</f>
        <v>#DIV/0!</v>
      </c>
      <c r="I16" s="1056" t="e">
        <f>'NF_catalyst red'!Q51</f>
        <v>#DIV/0!</v>
      </c>
      <c r="J16" s="1056" t="e">
        <f>'NF_catalyst red'!R51</f>
        <v>#DIV/0!</v>
      </c>
      <c r="K16" s="634" t="e">
        <f t="shared" si="1"/>
        <v>#DIV/0!</v>
      </c>
      <c r="L16" s="261" t="s">
        <v>104</v>
      </c>
      <c r="M16" s="171"/>
      <c r="N16" s="171"/>
      <c r="O16" s="171"/>
    </row>
    <row r="17" spans="1:15" ht="31.5">
      <c r="A17" s="64"/>
      <c r="B17" s="487">
        <v>3.5</v>
      </c>
      <c r="C17" s="191" t="s">
        <v>108</v>
      </c>
      <c r="D17" s="487" t="s">
        <v>40</v>
      </c>
      <c r="E17" s="185" t="s">
        <v>1009</v>
      </c>
      <c r="F17" s="551"/>
      <c r="G17" s="551"/>
      <c r="H17" s="551"/>
      <c r="I17" s="551"/>
      <c r="J17" s="551"/>
      <c r="K17" s="634" t="e">
        <f>NF_coal!R38</f>
        <v>#DIV/0!</v>
      </c>
      <c r="L17" s="261"/>
      <c r="M17" s="64"/>
      <c r="N17" s="64"/>
      <c r="O17" s="171"/>
    </row>
    <row r="18" spans="1:15" ht="33.75" customHeight="1">
      <c r="A18" s="64"/>
      <c r="B18" s="466">
        <v>4</v>
      </c>
      <c r="C18" s="179" t="s">
        <v>842</v>
      </c>
      <c r="D18" s="466" t="s">
        <v>40</v>
      </c>
      <c r="E18" s="466"/>
      <c r="F18" s="1058" t="e">
        <f t="shared" ref="F18:I18" si="2">SUM(F13:F17)</f>
        <v>#DIV/0!</v>
      </c>
      <c r="G18" s="1058" t="e">
        <f t="shared" si="2"/>
        <v>#DIV/0!</v>
      </c>
      <c r="H18" s="1058" t="e">
        <f t="shared" si="2"/>
        <v>#DIV/0!</v>
      </c>
      <c r="I18" s="1058" t="e">
        <f t="shared" si="2"/>
        <v>#DIV/0!</v>
      </c>
      <c r="J18" s="1058" t="e">
        <f>SUM(J13:J17)</f>
        <v>#DIV/0!</v>
      </c>
      <c r="K18" s="1059" t="e">
        <f>SUM(K13:K17)</f>
        <v>#DIV/0!</v>
      </c>
      <c r="L18" s="261" t="s">
        <v>109</v>
      </c>
      <c r="M18" s="64"/>
      <c r="N18" s="64"/>
      <c r="O18" s="171"/>
    </row>
    <row r="19" spans="1:15" ht="33.75" customHeight="1">
      <c r="A19" s="64"/>
      <c r="B19" s="487"/>
      <c r="C19" s="1060" t="s">
        <v>872</v>
      </c>
      <c r="D19" s="847" t="s">
        <v>873</v>
      </c>
      <c r="E19" s="1061"/>
      <c r="F19" s="1061"/>
      <c r="G19" s="1061"/>
      <c r="H19" s="1061"/>
      <c r="I19" s="1061"/>
      <c r="J19" s="552"/>
      <c r="K19" s="957" t="s">
        <v>981</v>
      </c>
      <c r="L19" s="1062"/>
      <c r="M19" s="64"/>
      <c r="N19" s="64"/>
      <c r="O19" s="171"/>
    </row>
    <row r="20" spans="1:15" ht="39.75" customHeight="1">
      <c r="A20" s="64"/>
      <c r="B20" s="487">
        <v>5</v>
      </c>
      <c r="C20" s="191" t="s">
        <v>979</v>
      </c>
      <c r="D20" s="487" t="s">
        <v>40</v>
      </c>
      <c r="E20" s="487"/>
      <c r="F20" s="487"/>
      <c r="G20" s="487"/>
      <c r="H20" s="487"/>
      <c r="I20" s="487"/>
      <c r="J20" s="218"/>
      <c r="K20" s="550" t="str">
        <f>IF(K19="Yes",J10-K18,"Not Applicable")</f>
        <v>Not Applicable</v>
      </c>
      <c r="L20" s="191"/>
      <c r="M20" s="107"/>
      <c r="N20" s="64"/>
      <c r="O20" s="64"/>
    </row>
    <row r="21" spans="1:15" ht="31.5">
      <c r="A21" s="64"/>
      <c r="B21" s="487"/>
      <c r="C21" s="191" t="s">
        <v>982</v>
      </c>
      <c r="D21" s="487" t="s">
        <v>826</v>
      </c>
      <c r="E21" s="487"/>
      <c r="F21" s="487"/>
      <c r="G21" s="487"/>
      <c r="H21" s="487"/>
      <c r="I21" s="487"/>
      <c r="J21" s="218"/>
      <c r="K21" s="550" t="e">
        <f>ROUND(J10/10,3)</f>
        <v>#DIV/0!</v>
      </c>
      <c r="L21" s="191"/>
      <c r="M21" s="107"/>
      <c r="N21" s="64"/>
      <c r="O21" s="64"/>
    </row>
    <row r="22" spans="1:15" ht="31.5">
      <c r="A22" s="64"/>
      <c r="B22" s="487">
        <v>6</v>
      </c>
      <c r="C22" s="191" t="s">
        <v>1010</v>
      </c>
      <c r="D22" s="487" t="s">
        <v>826</v>
      </c>
      <c r="E22" s="487"/>
      <c r="F22" s="487"/>
      <c r="G22" s="487"/>
      <c r="H22" s="487"/>
      <c r="I22" s="487"/>
      <c r="J22" s="218"/>
      <c r="K22" s="813" t="e">
        <f>ROUND(IF(K19="yes",K20/10,K21)-0.253,3)</f>
        <v>#DIV/0!</v>
      </c>
      <c r="L22" s="191"/>
      <c r="M22" s="64"/>
      <c r="N22" s="64"/>
      <c r="O22" s="64"/>
    </row>
    <row r="23" spans="1:15" ht="31.5">
      <c r="A23" s="64"/>
      <c r="B23" s="487">
        <v>7</v>
      </c>
      <c r="C23" s="191" t="s">
        <v>983</v>
      </c>
      <c r="D23" s="487" t="s">
        <v>826</v>
      </c>
      <c r="E23" s="190" t="s">
        <v>879</v>
      </c>
      <c r="F23" s="487"/>
      <c r="G23" s="487"/>
      <c r="H23" s="487"/>
      <c r="I23" s="487"/>
      <c r="J23" s="218"/>
      <c r="K23" s="1064"/>
      <c r="L23" s="191" t="s">
        <v>110</v>
      </c>
      <c r="M23" s="107"/>
      <c r="N23" s="64"/>
      <c r="O23" s="64"/>
    </row>
    <row r="24" spans="1:15" ht="31.5">
      <c r="A24" s="64"/>
      <c r="B24" s="487">
        <v>8</v>
      </c>
      <c r="C24" s="1060" t="s">
        <v>111</v>
      </c>
      <c r="D24" s="487" t="s">
        <v>826</v>
      </c>
      <c r="E24" s="847" t="s">
        <v>874</v>
      </c>
      <c r="F24" s="1061"/>
      <c r="G24" s="1061"/>
      <c r="H24" s="1061"/>
      <c r="I24" s="1061"/>
      <c r="J24" s="552"/>
      <c r="K24" s="813" t="e">
        <f>ROUND(K23-K22,3)</f>
        <v>#DIV/0!</v>
      </c>
      <c r="L24" s="191"/>
      <c r="M24" s="64"/>
      <c r="N24" s="64"/>
      <c r="O24" s="64"/>
    </row>
    <row r="25" spans="1:15" ht="79.5" customHeight="1">
      <c r="A25" s="64"/>
      <c r="B25" s="62">
        <v>9</v>
      </c>
      <c r="C25" s="106" t="s">
        <v>980</v>
      </c>
      <c r="D25" s="62" t="s">
        <v>112</v>
      </c>
      <c r="E25" s="487" t="s">
        <v>113</v>
      </c>
      <c r="F25" s="487"/>
      <c r="G25" s="487"/>
      <c r="H25" s="487"/>
      <c r="I25" s="487"/>
      <c r="J25" s="1063"/>
      <c r="K25" s="581" t="e">
        <f>ROUND(IF(K19="Yes",0,'Prod_energy_best monthly'!E20*(K24)),3)</f>
        <v>#DIV/0!</v>
      </c>
      <c r="L25" s="1041"/>
      <c r="M25" s="64"/>
      <c r="N25" s="64"/>
      <c r="O25" s="64"/>
    </row>
    <row r="26" spans="1:15" ht="54.75" customHeight="1">
      <c r="A26" s="64"/>
      <c r="B26" s="1385" t="s">
        <v>810</v>
      </c>
      <c r="C26" s="1385"/>
      <c r="D26" s="1385"/>
      <c r="E26" s="1385"/>
      <c r="F26" s="1385"/>
      <c r="G26" s="1385"/>
      <c r="H26" s="1385"/>
      <c r="I26" s="1385"/>
      <c r="J26" s="1385"/>
      <c r="K26" s="1385"/>
      <c r="L26" s="1385"/>
      <c r="M26" s="64"/>
      <c r="N26" s="64"/>
      <c r="O26" s="64"/>
    </row>
    <row r="27" spans="1:15" ht="22.5" hidden="1" customHeight="1">
      <c r="B27" s="1"/>
      <c r="C27" s="126" t="s">
        <v>864</v>
      </c>
      <c r="D27" s="8"/>
      <c r="E27" s="1"/>
      <c r="F27" s="1"/>
      <c r="G27" s="1"/>
      <c r="H27" s="1"/>
      <c r="I27" s="1"/>
    </row>
    <row r="28" spans="1:15" hidden="1">
      <c r="B28" s="1"/>
      <c r="C28" s="8"/>
      <c r="D28" s="127"/>
      <c r="E28" s="1"/>
      <c r="F28" s="1"/>
      <c r="G28" s="1"/>
      <c r="H28" s="1"/>
      <c r="I28" s="1"/>
      <c r="J28" s="128"/>
    </row>
    <row r="29" spans="1:15" ht="31.5" hidden="1">
      <c r="C29" s="12" t="s">
        <v>865</v>
      </c>
      <c r="D29" s="8">
        <v>0.32800000000000001</v>
      </c>
    </row>
    <row r="30" spans="1:15" ht="15.75" hidden="1">
      <c r="C30" s="12" t="s">
        <v>866</v>
      </c>
      <c r="D30" s="8">
        <v>881318</v>
      </c>
    </row>
    <row r="31" spans="1:15" ht="15.75" hidden="1">
      <c r="C31" s="12" t="s">
        <v>867</v>
      </c>
      <c r="D31" s="129">
        <v>0.31900000000000001</v>
      </c>
    </row>
    <row r="32" spans="1:15" ht="40.5" hidden="1" customHeight="1">
      <c r="C32" s="12" t="s">
        <v>868</v>
      </c>
      <c r="D32" s="176">
        <v>0.31900000000000001</v>
      </c>
    </row>
    <row r="33" spans="3:10" ht="31.5" hidden="1">
      <c r="C33" s="12" t="s">
        <v>869</v>
      </c>
      <c r="D33" s="176">
        <f>ROUND((J20-2.53)/10,3)</f>
        <v>-0.253</v>
      </c>
    </row>
    <row r="34" spans="3:10" ht="15.75" hidden="1">
      <c r="C34" s="12" t="s">
        <v>870</v>
      </c>
      <c r="D34" s="177">
        <f>(D31-D33)*D30</f>
        <v>504113.89600000007</v>
      </c>
    </row>
    <row r="35" spans="3:10">
      <c r="D35" s="10"/>
      <c r="J35"/>
    </row>
    <row r="36" spans="3:10">
      <c r="D36" s="10"/>
      <c r="J36"/>
    </row>
    <row r="37" spans="3:10">
      <c r="D37" s="10"/>
      <c r="J37"/>
    </row>
    <row r="38" spans="3:10">
      <c r="D38" s="10"/>
      <c r="J38"/>
    </row>
    <row r="39" spans="3:10">
      <c r="D39" s="10"/>
      <c r="J39"/>
    </row>
    <row r="40" spans="3:10">
      <c r="D40" s="10"/>
      <c r="J40"/>
    </row>
    <row r="41" spans="3:10">
      <c r="D41" s="10"/>
      <c r="J41"/>
    </row>
    <row r="42" spans="3:10">
      <c r="D42" s="10"/>
      <c r="J42"/>
    </row>
    <row r="43" spans="3:10">
      <c r="D43" s="10"/>
      <c r="J43"/>
    </row>
    <row r="44" spans="3:10">
      <c r="D44" s="10"/>
      <c r="J44"/>
    </row>
  </sheetData>
  <sheetProtection password="CC60" sheet="1" objects="1" scenarios="1"/>
  <customSheetViews>
    <customSheetView guid="{5D90FF31-AD5C-4A69-A320-8978B095DFD4}" scale="90">
      <selection activeCell="K14" sqref="K14"/>
      <pageMargins left="0.7" right="0.7" top="0.75" bottom="0.75" header="0.3" footer="0.3"/>
      <pageSetup orientation="portrait" verticalDpi="0" r:id="rId1"/>
    </customSheetView>
  </customSheetViews>
  <mergeCells count="5">
    <mergeCell ref="B26:L26"/>
    <mergeCell ref="G6:J6"/>
    <mergeCell ref="B4:L4"/>
    <mergeCell ref="G7:H7"/>
    <mergeCell ref="K7:K8"/>
  </mergeCells>
  <dataValidations count="1">
    <dataValidation operator="greaterThanOrEqual" allowBlank="1" showInputMessage="1" showErrorMessage="1" error="Entor Positive values" sqref="I7"/>
  </dataValidations>
  <pageMargins left="0" right="0" top="0.74803149606299213" bottom="0" header="0.31496062992125984" footer="0.31496062992125984"/>
  <pageSetup scale="5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K159"/>
  <sheetViews>
    <sheetView tabSelected="1" topLeftCell="H90" zoomScale="70" zoomScaleNormal="70" workbookViewId="0">
      <selection activeCell="U117" sqref="U117"/>
    </sheetView>
  </sheetViews>
  <sheetFormatPr defaultRowHeight="15"/>
  <cols>
    <col min="1" max="1" width="6.42578125" style="513" customWidth="1"/>
    <col min="2" max="2" width="9.140625" style="516"/>
    <col min="3" max="3" width="21.140625" style="513" customWidth="1"/>
    <col min="4" max="4" width="11.140625" style="516" customWidth="1"/>
    <col min="5" max="9" width="15.7109375" style="513" customWidth="1"/>
    <col min="10" max="10" width="21.28515625" style="516" customWidth="1"/>
    <col min="11" max="11" width="6.140625" style="513" customWidth="1"/>
    <col min="12" max="12" width="9.140625" style="513"/>
    <col min="13" max="13" width="19" style="513" customWidth="1"/>
    <col min="14" max="14" width="20.85546875" style="513" customWidth="1"/>
    <col min="15" max="15" width="19.42578125" style="513" customWidth="1"/>
    <col min="16" max="17" width="14.28515625" style="513" customWidth="1"/>
    <col min="18" max="18" width="14.42578125" style="513" bestFit="1" customWidth="1"/>
    <col min="19" max="19" width="12.5703125" style="513" customWidth="1"/>
    <col min="20" max="20" width="12.42578125" style="513" customWidth="1"/>
    <col min="21" max="21" width="13.42578125" style="513" customWidth="1"/>
    <col min="22" max="23" width="14" style="513" customWidth="1"/>
    <col min="24" max="25" width="9.140625" style="513"/>
    <col min="26" max="26" width="14.85546875" style="513" customWidth="1"/>
    <col min="27" max="36" width="13.7109375" style="513" customWidth="1"/>
    <col min="37" max="16384" width="9.140625" style="513"/>
  </cols>
  <sheetData>
    <row r="1" spans="2:18" s="64" customFormat="1">
      <c r="B1" s="187"/>
      <c r="D1" s="187"/>
      <c r="J1" s="187"/>
      <c r="M1" s="394" t="s">
        <v>891</v>
      </c>
    </row>
    <row r="2" spans="2:18" s="64" customFormat="1" ht="18.75">
      <c r="B2" s="186"/>
      <c r="C2" s="471" t="s">
        <v>957</v>
      </c>
      <c r="D2" s="472"/>
      <c r="E2" s="473"/>
      <c r="F2" s="473"/>
      <c r="G2" s="473"/>
      <c r="J2" s="187"/>
      <c r="M2" s="395" t="s">
        <v>889</v>
      </c>
    </row>
    <row r="3" spans="2:18" s="64" customFormat="1" ht="15.75" thickBot="1">
      <c r="B3" s="187"/>
      <c r="D3" s="187"/>
      <c r="J3" s="187"/>
      <c r="M3" s="396" t="s">
        <v>890</v>
      </c>
    </row>
    <row r="4" spans="2:18" s="64" customFormat="1" ht="32.25" customHeight="1" thickBot="1">
      <c r="B4" s="475" t="s">
        <v>0</v>
      </c>
      <c r="C4" s="474" t="s">
        <v>36</v>
      </c>
      <c r="D4" s="474" t="s">
        <v>37</v>
      </c>
      <c r="E4" s="227" t="s">
        <v>931</v>
      </c>
      <c r="F4" s="1377" t="s">
        <v>932</v>
      </c>
      <c r="G4" s="1378"/>
      <c r="H4" s="1278" t="s">
        <v>1030</v>
      </c>
      <c r="I4" s="1279" t="s">
        <v>1031</v>
      </c>
      <c r="J4" s="474" t="s">
        <v>25</v>
      </c>
      <c r="M4" s="397" t="s">
        <v>958</v>
      </c>
      <c r="O4" s="485" t="s">
        <v>87</v>
      </c>
      <c r="P4" s="486" t="s">
        <v>988</v>
      </c>
    </row>
    <row r="5" spans="2:18" s="64" customFormat="1" ht="32.25" customHeight="1">
      <c r="B5" s="470"/>
      <c r="C5" s="457"/>
      <c r="D5" s="457"/>
      <c r="E5" s="227" t="s">
        <v>43</v>
      </c>
      <c r="F5" s="227" t="s">
        <v>886</v>
      </c>
      <c r="G5" s="227" t="s">
        <v>887</v>
      </c>
      <c r="H5" s="1310" t="s">
        <v>1025</v>
      </c>
      <c r="I5" s="1311" t="s">
        <v>1026</v>
      </c>
      <c r="J5" s="457"/>
      <c r="O5" s="484"/>
      <c r="P5" s="484"/>
    </row>
    <row r="6" spans="2:18" s="64" customFormat="1" ht="15.75">
      <c r="B6" s="188"/>
      <c r="C6" s="671"/>
      <c r="D6" s="194"/>
      <c r="E6" s="418"/>
      <c r="F6" s="418"/>
      <c r="G6" s="418"/>
      <c r="H6" s="418"/>
      <c r="I6" s="418"/>
      <c r="J6" s="189"/>
      <c r="M6" s="602" t="s">
        <v>984</v>
      </c>
      <c r="N6" s="603"/>
      <c r="O6" s="603"/>
      <c r="P6" s="603"/>
      <c r="Q6" s="603"/>
      <c r="R6" s="604"/>
    </row>
    <row r="7" spans="2:18" s="64" customFormat="1" ht="15.75">
      <c r="B7" s="455">
        <v>1</v>
      </c>
      <c r="C7" s="456" t="s">
        <v>46</v>
      </c>
      <c r="D7" s="458"/>
      <c r="E7" s="459"/>
      <c r="F7" s="459"/>
      <c r="G7" s="459"/>
      <c r="H7" s="459"/>
      <c r="I7" s="459"/>
      <c r="J7" s="189"/>
      <c r="M7" s="605" t="s">
        <v>991</v>
      </c>
      <c r="N7" s="996" t="s">
        <v>989</v>
      </c>
      <c r="O7" s="605" t="s">
        <v>990</v>
      </c>
      <c r="P7" s="582"/>
      <c r="Q7" s="582"/>
      <c r="R7" s="606"/>
    </row>
    <row r="8" spans="2:18" s="64" customFormat="1" ht="16.5" thickBot="1">
      <c r="B8" s="188">
        <v>1.1000000000000001</v>
      </c>
      <c r="C8" s="671" t="s">
        <v>47</v>
      </c>
      <c r="D8" s="194" t="s">
        <v>10</v>
      </c>
      <c r="E8" s="105">
        <f>'Sd_Form 1'!E12</f>
        <v>0</v>
      </c>
      <c r="F8" s="105">
        <f>'Sd_Form 1'!F12</f>
        <v>0</v>
      </c>
      <c r="G8" s="105">
        <f>'Sd_Form 1'!G12</f>
        <v>0</v>
      </c>
      <c r="H8" s="105">
        <f>'Sd_Form 1'!H12</f>
        <v>0</v>
      </c>
      <c r="I8" s="105">
        <f>'Sd_Form 1'!I12</f>
        <v>0</v>
      </c>
      <c r="J8" s="189"/>
      <c r="M8" s="610" t="s">
        <v>987</v>
      </c>
      <c r="N8" s="611"/>
      <c r="O8" s="612"/>
      <c r="P8" s="613"/>
      <c r="Q8" s="613"/>
      <c r="R8" s="613"/>
    </row>
    <row r="9" spans="2:18" s="64" customFormat="1" ht="16.5" thickBot="1">
      <c r="B9" s="188" t="s">
        <v>48</v>
      </c>
      <c r="C9" s="670" t="s">
        <v>49</v>
      </c>
      <c r="D9" s="273" t="s">
        <v>10</v>
      </c>
      <c r="E9" s="105">
        <f>'Sd_Form 1'!E13</f>
        <v>0</v>
      </c>
      <c r="F9" s="105">
        <f>'Sd_Form 1'!F13</f>
        <v>0</v>
      </c>
      <c r="G9" s="105">
        <f>'Sd_Form 1'!G13</f>
        <v>0</v>
      </c>
      <c r="H9" s="105">
        <f>'Sd_Form 1'!H13</f>
        <v>0</v>
      </c>
      <c r="I9" s="105">
        <f>'Sd_Form 1'!I13</f>
        <v>0</v>
      </c>
      <c r="J9" s="192" t="s">
        <v>58</v>
      </c>
      <c r="M9" s="607" t="s">
        <v>985</v>
      </c>
      <c r="N9" s="608"/>
      <c r="O9" s="608"/>
      <c r="P9" s="609"/>
      <c r="Q9" s="615"/>
      <c r="R9" s="615"/>
    </row>
    <row r="10" spans="2:18" s="64" customFormat="1" ht="15.75">
      <c r="B10" s="188" t="s">
        <v>50</v>
      </c>
      <c r="C10" s="670" t="s">
        <v>51</v>
      </c>
      <c r="D10" s="273" t="s">
        <v>10</v>
      </c>
      <c r="E10" s="105">
        <f>'Sd_Form 1'!E14</f>
        <v>0</v>
      </c>
      <c r="F10" s="105">
        <f>'Sd_Form 1'!F14</f>
        <v>0</v>
      </c>
      <c r="G10" s="105">
        <f>'Sd_Form 1'!G14</f>
        <v>0</v>
      </c>
      <c r="H10" s="105">
        <f>'Sd_Form 1'!H14</f>
        <v>0</v>
      </c>
      <c r="I10" s="105">
        <f>'Sd_Form 1'!I14</f>
        <v>0</v>
      </c>
      <c r="J10" s="192" t="s">
        <v>58</v>
      </c>
      <c r="M10" s="607" t="s">
        <v>986</v>
      </c>
      <c r="N10" s="614"/>
    </row>
    <row r="11" spans="2:18" s="64" customFormat="1" ht="15.75">
      <c r="B11" s="188" t="s">
        <v>52</v>
      </c>
      <c r="C11" s="461" t="s">
        <v>53</v>
      </c>
      <c r="D11" s="462" t="s">
        <v>10</v>
      </c>
      <c r="E11" s="463">
        <f>'Sd_Form 1'!E16</f>
        <v>0</v>
      </c>
      <c r="F11" s="463">
        <f>'Sd_Form 1'!F16</f>
        <v>0</v>
      </c>
      <c r="G11" s="463">
        <f>'Sd_Form 1'!G16</f>
        <v>0</v>
      </c>
      <c r="H11" s="463">
        <f>'Sd_Form 1'!H16</f>
        <v>0</v>
      </c>
      <c r="I11" s="463">
        <f>'Sd_Form 1'!I16</f>
        <v>0</v>
      </c>
      <c r="J11" s="192" t="s">
        <v>58</v>
      </c>
    </row>
    <row r="12" spans="2:18" s="64" customFormat="1" ht="15.75">
      <c r="B12" s="188" t="s">
        <v>54</v>
      </c>
      <c r="C12" s="670" t="s">
        <v>91</v>
      </c>
      <c r="D12" s="190" t="s">
        <v>9</v>
      </c>
      <c r="E12" s="105">
        <f>'Tech annexure'!F12</f>
        <v>0</v>
      </c>
      <c r="F12" s="105">
        <f>'Tech annexure'!G12</f>
        <v>0</v>
      </c>
      <c r="G12" s="105">
        <f>'Tech annexure'!H12</f>
        <v>0</v>
      </c>
      <c r="H12" s="105">
        <f>'Tech annexure'!I12</f>
        <v>0</v>
      </c>
      <c r="I12" s="105">
        <f>'Tech annexure'!J12</f>
        <v>0</v>
      </c>
      <c r="J12" s="192"/>
    </row>
    <row r="13" spans="2:18" s="64" customFormat="1" ht="23.25" customHeight="1">
      <c r="B13" s="188" t="s">
        <v>56</v>
      </c>
      <c r="C13" s="670" t="s">
        <v>55</v>
      </c>
      <c r="D13" s="190" t="s">
        <v>11</v>
      </c>
      <c r="E13" s="464" t="e">
        <f>'Sd_Form 1'!E17</f>
        <v>#DIV/0!</v>
      </c>
      <c r="F13" s="464" t="e">
        <f>'Sd_Form 1'!F17</f>
        <v>#DIV/0!</v>
      </c>
      <c r="G13" s="464" t="e">
        <f>'Sd_Form 1'!G17</f>
        <v>#DIV/0!</v>
      </c>
      <c r="H13" s="464" t="e">
        <f>'Sd_Form 1'!H17</f>
        <v>#DIV/0!</v>
      </c>
      <c r="I13" s="464" t="e">
        <f>'Sd_Form 1'!I17</f>
        <v>#DIV/0!</v>
      </c>
      <c r="J13" s="192" t="s">
        <v>58</v>
      </c>
      <c r="N13" s="616"/>
    </row>
    <row r="14" spans="2:18" s="64" customFormat="1" ht="31.5">
      <c r="B14" s="465" t="s">
        <v>90</v>
      </c>
      <c r="C14" s="179" t="s">
        <v>57</v>
      </c>
      <c r="D14" s="466" t="s">
        <v>64</v>
      </c>
      <c r="E14" s="179" t="e">
        <f>'Tech annexure'!F45</f>
        <v>#DIV/0!</v>
      </c>
      <c r="F14" s="179" t="e">
        <f>'Tech annexure'!G45</f>
        <v>#DIV/0!</v>
      </c>
      <c r="G14" s="179" t="e">
        <f>'Tech annexure'!H45</f>
        <v>#DIV/0!</v>
      </c>
      <c r="H14" s="179" t="e">
        <f>'Tech annexure'!I45</f>
        <v>#DIV/0!</v>
      </c>
      <c r="I14" s="179" t="e">
        <f>'Tech annexure'!J45</f>
        <v>#DIV/0!</v>
      </c>
      <c r="J14" s="192" t="s">
        <v>58</v>
      </c>
    </row>
    <row r="15" spans="2:18" s="64" customFormat="1" ht="15.75">
      <c r="B15" s="188"/>
      <c r="C15" s="671"/>
      <c r="D15" s="189"/>
      <c r="E15" s="671"/>
      <c r="F15" s="671"/>
      <c r="G15" s="671"/>
      <c r="H15" s="671"/>
      <c r="I15" s="671"/>
      <c r="J15" s="192"/>
    </row>
    <row r="16" spans="2:18" s="64" customFormat="1" ht="15.75">
      <c r="B16" s="455">
        <v>2</v>
      </c>
      <c r="C16" s="469" t="s">
        <v>581</v>
      </c>
      <c r="D16" s="190"/>
      <c r="E16" s="106"/>
      <c r="F16" s="106"/>
      <c r="G16" s="106"/>
      <c r="H16" s="106"/>
      <c r="I16" s="106"/>
      <c r="J16" s="192"/>
    </row>
    <row r="17" spans="1:37" s="64" customFormat="1" ht="15.75">
      <c r="B17" s="188">
        <v>2.1</v>
      </c>
      <c r="C17" s="670" t="s">
        <v>47</v>
      </c>
      <c r="D17" s="190" t="s">
        <v>10</v>
      </c>
      <c r="E17" s="105">
        <f>'Sd_Form 1'!E20</f>
        <v>0</v>
      </c>
      <c r="F17" s="105">
        <f>'Sd_Form 1'!F20</f>
        <v>0</v>
      </c>
      <c r="G17" s="105">
        <f>'Sd_Form 1'!G20</f>
        <v>0</v>
      </c>
      <c r="H17" s="105">
        <f>'Sd_Form 1'!H20</f>
        <v>0</v>
      </c>
      <c r="I17" s="105">
        <f>'Sd_Form 1'!I20</f>
        <v>0</v>
      </c>
      <c r="J17" s="192"/>
    </row>
    <row r="18" spans="1:37" s="64" customFormat="1" ht="15.75">
      <c r="B18" s="188" t="s">
        <v>59</v>
      </c>
      <c r="C18" s="670" t="s">
        <v>49</v>
      </c>
      <c r="D18" s="190" t="s">
        <v>10</v>
      </c>
      <c r="E18" s="105">
        <f>'Sd_Form 1'!E21</f>
        <v>0</v>
      </c>
      <c r="F18" s="105">
        <f>'Sd_Form 1'!F21</f>
        <v>0</v>
      </c>
      <c r="G18" s="105">
        <f>'Sd_Form 1'!G21</f>
        <v>0</v>
      </c>
      <c r="H18" s="105">
        <f>'Sd_Form 1'!H21</f>
        <v>0</v>
      </c>
      <c r="I18" s="105">
        <f>'Sd_Form 1'!I21</f>
        <v>0</v>
      </c>
      <c r="J18" s="192" t="s">
        <v>58</v>
      </c>
    </row>
    <row r="19" spans="1:37" s="64" customFormat="1" ht="15.75">
      <c r="B19" s="188" t="s">
        <v>60</v>
      </c>
      <c r="C19" s="670" t="s">
        <v>51</v>
      </c>
      <c r="D19" s="190" t="s">
        <v>10</v>
      </c>
      <c r="E19" s="105">
        <f>'Sd_Form 1'!E22</f>
        <v>0</v>
      </c>
      <c r="F19" s="105">
        <f>'Sd_Form 1'!F22</f>
        <v>0</v>
      </c>
      <c r="G19" s="105">
        <f>'Sd_Form 1'!G22</f>
        <v>0</v>
      </c>
      <c r="H19" s="105">
        <f>'Sd_Form 1'!H22</f>
        <v>0</v>
      </c>
      <c r="I19" s="105">
        <f>'Sd_Form 1'!I22</f>
        <v>0</v>
      </c>
      <c r="J19" s="192" t="s">
        <v>58</v>
      </c>
    </row>
    <row r="20" spans="1:37" s="64" customFormat="1" ht="15.75">
      <c r="B20" s="476" t="s">
        <v>61</v>
      </c>
      <c r="C20" s="461" t="s">
        <v>53</v>
      </c>
      <c r="D20" s="477" t="s">
        <v>10</v>
      </c>
      <c r="E20" s="463">
        <f>'Sd_Form 1'!E24</f>
        <v>0</v>
      </c>
      <c r="F20" s="463">
        <f>'Sd_Form 1'!F24</f>
        <v>0</v>
      </c>
      <c r="G20" s="463">
        <f>'Sd_Form 1'!G24</f>
        <v>0</v>
      </c>
      <c r="H20" s="463">
        <f>'Sd_Form 1'!H24</f>
        <v>0</v>
      </c>
      <c r="I20" s="463">
        <f>'Sd_Form 1'!I24</f>
        <v>0</v>
      </c>
      <c r="J20" s="192" t="s">
        <v>58</v>
      </c>
    </row>
    <row r="21" spans="1:37" s="64" customFormat="1" ht="15.75">
      <c r="B21" s="190" t="s">
        <v>62</v>
      </c>
      <c r="C21" s="106" t="s">
        <v>91</v>
      </c>
      <c r="D21" s="190" t="s">
        <v>9</v>
      </c>
      <c r="E21" s="460">
        <f>'Tech annexure'!F52</f>
        <v>0</v>
      </c>
      <c r="F21" s="460">
        <f>'Tech annexure'!G52</f>
        <v>0</v>
      </c>
      <c r="G21" s="460">
        <f>'Tech annexure'!H52</f>
        <v>0</v>
      </c>
      <c r="H21" s="460">
        <f>'Tech annexure'!I52</f>
        <v>0</v>
      </c>
      <c r="I21" s="460">
        <f>'Tech annexure'!J52</f>
        <v>0</v>
      </c>
      <c r="J21" s="192"/>
    </row>
    <row r="22" spans="1:37" s="64" customFormat="1" ht="18.75" customHeight="1">
      <c r="B22" s="190" t="s">
        <v>63</v>
      </c>
      <c r="C22" s="106" t="s">
        <v>55</v>
      </c>
      <c r="D22" s="190" t="s">
        <v>11</v>
      </c>
      <c r="E22" s="464" t="e">
        <f>'Sd_Form 1'!E25</f>
        <v>#DIV/0!</v>
      </c>
      <c r="F22" s="464" t="e">
        <f>'Sd_Form 1'!F25</f>
        <v>#DIV/0!</v>
      </c>
      <c r="G22" s="464" t="e">
        <f>'Sd_Form 1'!G25</f>
        <v>#DIV/0!</v>
      </c>
      <c r="H22" s="464" t="e">
        <f>'Sd_Form 1'!H25</f>
        <v>#DIV/0!</v>
      </c>
      <c r="I22" s="464" t="e">
        <f>'Sd_Form 1'!I25</f>
        <v>#DIV/0!</v>
      </c>
      <c r="J22" s="192" t="s">
        <v>58</v>
      </c>
    </row>
    <row r="23" spans="1:37" s="64" customFormat="1" ht="31.5">
      <c r="B23" s="465" t="s">
        <v>92</v>
      </c>
      <c r="C23" s="179" t="s">
        <v>57</v>
      </c>
      <c r="D23" s="466" t="s">
        <v>40</v>
      </c>
      <c r="E23" s="481" t="e">
        <f>'Tech annexure'!F80</f>
        <v>#DIV/0!</v>
      </c>
      <c r="F23" s="481" t="e">
        <f>'Tech annexure'!G80</f>
        <v>#DIV/0!</v>
      </c>
      <c r="G23" s="481" t="e">
        <f>'Tech annexure'!H80</f>
        <v>#DIV/0!</v>
      </c>
      <c r="H23" s="481" t="e">
        <f>'Tech annexure'!I80</f>
        <v>#DIV/0!</v>
      </c>
      <c r="I23" s="481" t="e">
        <f>'Tech annexure'!J80</f>
        <v>#DIV/0!</v>
      </c>
      <c r="J23" s="192" t="s">
        <v>58</v>
      </c>
    </row>
    <row r="24" spans="1:37" s="64" customFormat="1" ht="16.5" thickBot="1">
      <c r="B24" s="190"/>
      <c r="C24" s="106"/>
      <c r="D24" s="190"/>
      <c r="E24" s="104"/>
      <c r="F24" s="104"/>
      <c r="G24" s="104"/>
      <c r="H24" s="104"/>
      <c r="I24" s="104"/>
      <c r="J24" s="193"/>
    </row>
    <row r="25" spans="1:37" s="64" customFormat="1">
      <c r="B25" s="187"/>
      <c r="D25" s="187"/>
      <c r="J25" s="187"/>
    </row>
    <row r="26" spans="1:37">
      <c r="A26" s="64"/>
      <c r="B26" s="64"/>
      <c r="C26" s="64" t="s">
        <v>88</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row>
    <row r="27" spans="1:37" ht="15.75" customHeight="1">
      <c r="B27" s="584" t="s">
        <v>860</v>
      </c>
      <c r="C27" s="1403"/>
      <c r="D27" s="1403"/>
      <c r="E27" s="1403"/>
      <c r="F27" s="1403"/>
      <c r="G27" s="1403"/>
      <c r="H27" s="1403"/>
      <c r="I27" s="1403"/>
      <c r="J27" s="1403"/>
      <c r="X27" s="64"/>
      <c r="Y27" s="64"/>
      <c r="Z27" s="64"/>
      <c r="AA27" s="64"/>
      <c r="AB27" s="64"/>
      <c r="AC27" s="64"/>
      <c r="AD27" s="64"/>
      <c r="AE27" s="64"/>
      <c r="AF27" s="64"/>
      <c r="AG27" s="64"/>
      <c r="AH27" s="64"/>
      <c r="AI27" s="64"/>
      <c r="AJ27" s="64"/>
      <c r="AK27" s="64"/>
    </row>
    <row r="28" spans="1:37" s="541" customFormat="1" ht="18.75">
      <c r="B28" s="567"/>
      <c r="C28" s="1403"/>
      <c r="D28" s="1403"/>
      <c r="E28" s="1403"/>
      <c r="F28" s="1403"/>
      <c r="G28" s="1403"/>
      <c r="H28" s="1403"/>
      <c r="I28" s="1403"/>
      <c r="J28" s="1403"/>
      <c r="L28" s="926"/>
      <c r="M28" s="997" t="s">
        <v>959</v>
      </c>
      <c r="N28" s="997"/>
      <c r="O28" s="926"/>
      <c r="P28" s="926"/>
      <c r="Q28" s="926"/>
      <c r="R28" s="926"/>
      <c r="S28" s="926"/>
      <c r="T28" s="926"/>
      <c r="U28" s="926"/>
      <c r="V28" s="926"/>
      <c r="W28" s="926"/>
      <c r="X28" s="926"/>
      <c r="Y28" s="997" t="s">
        <v>79</v>
      </c>
      <c r="Z28" s="997" t="s">
        <v>963</v>
      </c>
      <c r="AA28" s="926"/>
      <c r="AB28" s="926"/>
      <c r="AC28" s="926"/>
      <c r="AD28" s="926"/>
      <c r="AE28" s="926"/>
      <c r="AF28" s="926"/>
      <c r="AG28" s="926"/>
      <c r="AH28" s="926"/>
      <c r="AI28" s="926"/>
      <c r="AJ28" s="926"/>
      <c r="AK28" s="926"/>
    </row>
    <row r="29" spans="1:37" s="568" customFormat="1" ht="19.5" thickBot="1">
      <c r="B29" s="585"/>
      <c r="C29" s="1403"/>
      <c r="D29" s="1403"/>
      <c r="E29" s="1403"/>
      <c r="F29" s="1403"/>
      <c r="G29" s="1403"/>
      <c r="H29" s="1403"/>
      <c r="I29" s="1403"/>
      <c r="J29" s="1403"/>
      <c r="L29" s="997" t="s">
        <v>75</v>
      </c>
      <c r="M29" s="998"/>
      <c r="N29" s="999"/>
      <c r="O29" s="1000" t="s">
        <v>93</v>
      </c>
      <c r="P29" s="1001"/>
      <c r="Q29" s="1002" t="s">
        <v>2</v>
      </c>
      <c r="R29" s="586">
        <v>1520</v>
      </c>
      <c r="S29" s="1003"/>
      <c r="T29" s="1002"/>
      <c r="U29" s="1000" t="s">
        <v>3</v>
      </c>
      <c r="V29" s="587">
        <v>2620</v>
      </c>
      <c r="W29" s="965"/>
      <c r="X29" s="965"/>
      <c r="Y29" s="1030"/>
      <c r="Z29" s="998"/>
      <c r="AA29" s="999"/>
      <c r="AB29" s="1000" t="s">
        <v>93</v>
      </c>
      <c r="AC29" s="1001"/>
      <c r="AD29" s="1002" t="s">
        <v>2</v>
      </c>
      <c r="AE29" s="586">
        <v>1520</v>
      </c>
      <c r="AF29" s="1003"/>
      <c r="AG29" s="1002"/>
      <c r="AH29" s="1000" t="s">
        <v>3</v>
      </c>
      <c r="AI29" s="587">
        <v>2620</v>
      </c>
      <c r="AJ29" s="965"/>
      <c r="AK29" s="965"/>
    </row>
    <row r="30" spans="1:37" ht="16.5" customHeight="1" thickBot="1">
      <c r="C30" s="1403"/>
      <c r="D30" s="1403"/>
      <c r="E30" s="1403"/>
      <c r="F30" s="1403"/>
      <c r="G30" s="1403"/>
      <c r="H30" s="1403"/>
      <c r="I30" s="1403"/>
      <c r="J30" s="1403"/>
      <c r="L30" s="1004" t="s">
        <v>0</v>
      </c>
      <c r="M30" s="1005" t="s">
        <v>1</v>
      </c>
      <c r="N30" s="1394" t="s">
        <v>2</v>
      </c>
      <c r="O30" s="1395"/>
      <c r="P30" s="1395"/>
      <c r="Q30" s="1395"/>
      <c r="R30" s="1396"/>
      <c r="S30" s="1397" t="s">
        <v>3</v>
      </c>
      <c r="T30" s="1398"/>
      <c r="U30" s="1398"/>
      <c r="V30" s="1398"/>
      <c r="W30" s="1399"/>
      <c r="X30" s="64"/>
      <c r="Y30" s="1004" t="s">
        <v>0</v>
      </c>
      <c r="Z30" s="1005" t="s">
        <v>1</v>
      </c>
      <c r="AA30" s="1394" t="s">
        <v>2</v>
      </c>
      <c r="AB30" s="1395"/>
      <c r="AC30" s="1395"/>
      <c r="AD30" s="1395"/>
      <c r="AE30" s="1396"/>
      <c r="AF30" s="1397" t="s">
        <v>3</v>
      </c>
      <c r="AG30" s="1398"/>
      <c r="AH30" s="1398"/>
      <c r="AI30" s="1398"/>
      <c r="AJ30" s="1399"/>
      <c r="AK30" s="64"/>
    </row>
    <row r="31" spans="1:37" ht="15.75" customHeight="1">
      <c r="C31" s="1403"/>
      <c r="D31" s="1403"/>
      <c r="E31" s="1403"/>
      <c r="F31" s="1403"/>
      <c r="G31" s="1403"/>
      <c r="H31" s="1403"/>
      <c r="I31" s="1403"/>
      <c r="J31" s="1403"/>
      <c r="L31" s="1392"/>
      <c r="M31" s="1392"/>
      <c r="N31" s="1006" t="s">
        <v>94</v>
      </c>
      <c r="O31" s="1006" t="s">
        <v>4</v>
      </c>
      <c r="P31" s="1392" t="s">
        <v>6</v>
      </c>
      <c r="Q31" s="1392" t="s">
        <v>7</v>
      </c>
      <c r="R31" s="1392" t="s">
        <v>8</v>
      </c>
      <c r="S31" s="1007" t="s">
        <v>94</v>
      </c>
      <c r="T31" s="1006" t="s">
        <v>4</v>
      </c>
      <c r="U31" s="1392" t="s">
        <v>6</v>
      </c>
      <c r="V31" s="1392" t="s">
        <v>7</v>
      </c>
      <c r="W31" s="1392" t="s">
        <v>8</v>
      </c>
      <c r="X31" s="64"/>
      <c r="Y31" s="1392"/>
      <c r="Z31" s="1392"/>
      <c r="AA31" s="1006" t="s">
        <v>94</v>
      </c>
      <c r="AB31" s="1006" t="s">
        <v>4</v>
      </c>
      <c r="AC31" s="1392" t="s">
        <v>6</v>
      </c>
      <c r="AD31" s="1392" t="s">
        <v>7</v>
      </c>
      <c r="AE31" s="1392" t="s">
        <v>8</v>
      </c>
      <c r="AF31" s="1007" t="s">
        <v>94</v>
      </c>
      <c r="AG31" s="1006" t="s">
        <v>4</v>
      </c>
      <c r="AH31" s="1392" t="s">
        <v>6</v>
      </c>
      <c r="AI31" s="1392" t="s">
        <v>7</v>
      </c>
      <c r="AJ31" s="1392" t="s">
        <v>8</v>
      </c>
      <c r="AK31" s="64"/>
    </row>
    <row r="32" spans="1:37" ht="24.75" customHeight="1" thickBot="1">
      <c r="C32" s="1403"/>
      <c r="D32" s="1403"/>
      <c r="E32" s="1403"/>
      <c r="F32" s="1403"/>
      <c r="G32" s="1403"/>
      <c r="H32" s="1403"/>
      <c r="I32" s="1403"/>
      <c r="J32" s="1403"/>
      <c r="L32" s="1393"/>
      <c r="M32" s="1393"/>
      <c r="N32" s="1005" t="s">
        <v>95</v>
      </c>
      <c r="O32" s="1005" t="s">
        <v>5</v>
      </c>
      <c r="P32" s="1393"/>
      <c r="Q32" s="1393"/>
      <c r="R32" s="1393"/>
      <c r="S32" s="1008" t="s">
        <v>95</v>
      </c>
      <c r="T32" s="1005" t="s">
        <v>5</v>
      </c>
      <c r="U32" s="1393"/>
      <c r="V32" s="1393"/>
      <c r="W32" s="1393"/>
      <c r="X32" s="64"/>
      <c r="Y32" s="1393"/>
      <c r="Z32" s="1393"/>
      <c r="AA32" s="1005" t="s">
        <v>95</v>
      </c>
      <c r="AB32" s="1005" t="s">
        <v>5</v>
      </c>
      <c r="AC32" s="1393"/>
      <c r="AD32" s="1393"/>
      <c r="AE32" s="1393"/>
      <c r="AF32" s="1008" t="s">
        <v>95</v>
      </c>
      <c r="AG32" s="1005" t="s">
        <v>5</v>
      </c>
      <c r="AH32" s="1393"/>
      <c r="AI32" s="1393"/>
      <c r="AJ32" s="1393"/>
      <c r="AK32" s="64"/>
    </row>
    <row r="33" spans="2:37" ht="30" customHeight="1" thickBot="1">
      <c r="L33" s="1009"/>
      <c r="M33" s="1010"/>
      <c r="N33" s="1010" t="s">
        <v>10</v>
      </c>
      <c r="O33" s="1010" t="s">
        <v>9</v>
      </c>
      <c r="P33" s="1010" t="s">
        <v>10</v>
      </c>
      <c r="Q33" s="1010" t="s">
        <v>11</v>
      </c>
      <c r="R33" s="1010" t="s">
        <v>12</v>
      </c>
      <c r="S33" s="1010" t="s">
        <v>10</v>
      </c>
      <c r="T33" s="1010" t="s">
        <v>9</v>
      </c>
      <c r="U33" s="1010" t="s">
        <v>10</v>
      </c>
      <c r="V33" s="1010" t="s">
        <v>11</v>
      </c>
      <c r="W33" s="1010" t="s">
        <v>12</v>
      </c>
      <c r="X33" s="64"/>
      <c r="Y33" s="1009"/>
      <c r="Z33" s="1010"/>
      <c r="AA33" s="1010" t="s">
        <v>10</v>
      </c>
      <c r="AB33" s="1010" t="s">
        <v>9</v>
      </c>
      <c r="AC33" s="1010" t="s">
        <v>10</v>
      </c>
      <c r="AD33" s="1010" t="s">
        <v>11</v>
      </c>
      <c r="AE33" s="1010" t="s">
        <v>12</v>
      </c>
      <c r="AF33" s="1010" t="s">
        <v>10</v>
      </c>
      <c r="AG33" s="1010" t="s">
        <v>9</v>
      </c>
      <c r="AH33" s="1010" t="s">
        <v>10</v>
      </c>
      <c r="AI33" s="1010" t="s">
        <v>11</v>
      </c>
      <c r="AJ33" s="1010" t="s">
        <v>12</v>
      </c>
      <c r="AK33" s="64"/>
    </row>
    <row r="34" spans="2:37" ht="16.5" thickBot="1">
      <c r="L34" s="1011">
        <v>1</v>
      </c>
      <c r="M34" s="104" t="s">
        <v>13</v>
      </c>
      <c r="N34" s="588">
        <f>30*$R$29</f>
        <v>45600</v>
      </c>
      <c r="O34" s="589">
        <f>'[1]On-stream days'!$B$6</f>
        <v>30</v>
      </c>
      <c r="P34" s="589">
        <f>[2]A!$C$302</f>
        <v>51158</v>
      </c>
      <c r="Q34" s="1295">
        <f>P34*100/N34</f>
        <v>112.18859649122807</v>
      </c>
      <c r="R34" s="590">
        <f>[3]VP!$D$45</f>
        <v>7.7989999999999995</v>
      </c>
      <c r="S34" s="588">
        <f>30*$V$29</f>
        <v>78600</v>
      </c>
      <c r="T34" s="624">
        <f>'[1]On-stream days'!$B$31</f>
        <v>29.93</v>
      </c>
      <c r="U34" s="589">
        <f>[2]A!$C$328</f>
        <v>86831</v>
      </c>
      <c r="V34" s="1295">
        <f t="shared" ref="V34:V40" si="0">U34*100/S34</f>
        <v>110.47201017811705</v>
      </c>
      <c r="W34" s="590">
        <v>5.7290000000000001</v>
      </c>
      <c r="X34" s="64"/>
      <c r="Y34" s="1011">
        <v>1</v>
      </c>
      <c r="Z34" s="104" t="s">
        <v>13</v>
      </c>
      <c r="AA34" s="588">
        <f>30*$AE$29</f>
        <v>45600</v>
      </c>
      <c r="AB34" s="601">
        <f>'[4]On-stream days'!$B$6</f>
        <v>29.92</v>
      </c>
      <c r="AC34" s="617">
        <f>[5]A!$C$288</f>
        <v>46096</v>
      </c>
      <c r="AD34" s="1293">
        <f t="shared" ref="AD34:AD39" si="1">AC34*100/AA34</f>
        <v>101.08771929824562</v>
      </c>
      <c r="AE34" s="588">
        <f>[6]VP!$D$45</f>
        <v>7.7839999999999998</v>
      </c>
      <c r="AF34" s="588">
        <f>30*$AI$29</f>
        <v>78600</v>
      </c>
      <c r="AG34" s="588">
        <f>'[4]On-stream days'!$B$31</f>
        <v>30</v>
      </c>
      <c r="AH34" s="617">
        <f>[5]A!$C$313</f>
        <v>80030</v>
      </c>
      <c r="AI34" s="1293">
        <f t="shared" ref="AI34:AI39" si="2">AH34*100/AF34</f>
        <v>101.81933842239185</v>
      </c>
      <c r="AJ34" s="590">
        <v>5.7169999999999996</v>
      </c>
      <c r="AK34" s="64"/>
    </row>
    <row r="35" spans="2:37" ht="16.5" thickBot="1">
      <c r="L35" s="1011">
        <v>2</v>
      </c>
      <c r="M35" s="104" t="s">
        <v>14</v>
      </c>
      <c r="N35" s="588">
        <f>31*$R$29</f>
        <v>47120</v>
      </c>
      <c r="O35" s="589">
        <f>'[1]On-stream days'!$C$6</f>
        <v>31</v>
      </c>
      <c r="P35" s="589">
        <f>[2]A!$D$302</f>
        <v>52041</v>
      </c>
      <c r="Q35" s="1295">
        <f t="shared" ref="Q35:Q40" si="3">P35*100/N35</f>
        <v>110.44354838709677</v>
      </c>
      <c r="R35" s="590">
        <f>[3]VP!$E$45</f>
        <v>7.7989999999999995</v>
      </c>
      <c r="S35" s="588">
        <f>31*$V$29</f>
        <v>81220</v>
      </c>
      <c r="T35" s="624">
        <f>'[1]On-stream days'!$C$31</f>
        <v>30.97</v>
      </c>
      <c r="U35" s="589">
        <f>[2]A!$D$328</f>
        <v>88780</v>
      </c>
      <c r="V35" s="1295">
        <f t="shared" si="0"/>
        <v>109.30805220389067</v>
      </c>
      <c r="W35" s="590">
        <v>5.7610000000000001</v>
      </c>
      <c r="X35" s="64"/>
      <c r="Y35" s="1011">
        <v>2</v>
      </c>
      <c r="Z35" s="104" t="s">
        <v>14</v>
      </c>
      <c r="AA35" s="588">
        <f>31*$AE$29</f>
        <v>47120</v>
      </c>
      <c r="AB35" s="601">
        <f>'[4]On-stream days'!$C$6</f>
        <v>18.920000000000002</v>
      </c>
      <c r="AC35" s="617">
        <f>[5]A!$D$288</f>
        <v>28211</v>
      </c>
      <c r="AD35" s="1293">
        <f t="shared" si="1"/>
        <v>59.870543293718164</v>
      </c>
      <c r="AE35" s="588">
        <f>[6]VP!$E$45</f>
        <v>8.2040000000000006</v>
      </c>
      <c r="AF35" s="588">
        <f>31*$AI$29</f>
        <v>81220</v>
      </c>
      <c r="AG35" s="601">
        <f>'[4]On-stream days'!$C$31</f>
        <v>18.18</v>
      </c>
      <c r="AH35" s="617">
        <f>[5]A!$D$313</f>
        <v>47657</v>
      </c>
      <c r="AI35" s="1293">
        <f t="shared" si="2"/>
        <v>58.676434375769517</v>
      </c>
      <c r="AJ35" s="590">
        <v>6.0940000000000003</v>
      </c>
      <c r="AK35" s="64"/>
    </row>
    <row r="36" spans="2:37" ht="16.5" thickBot="1">
      <c r="L36" s="1011">
        <v>3</v>
      </c>
      <c r="M36" s="104" t="s">
        <v>15</v>
      </c>
      <c r="N36" s="588">
        <f>30*$R$29</f>
        <v>45600</v>
      </c>
      <c r="O36" s="589">
        <f>'[1]On-stream days'!$D$6</f>
        <v>30</v>
      </c>
      <c r="P36" s="589">
        <f>[2]A!$E$302</f>
        <v>49579</v>
      </c>
      <c r="Q36" s="1295">
        <f t="shared" si="3"/>
        <v>108.72587719298245</v>
      </c>
      <c r="R36" s="590">
        <f>[3]VP!$F$45</f>
        <v>7.8029999999999999</v>
      </c>
      <c r="S36" s="588">
        <f t="shared" ref="S36:S41" si="4">30*$V$29</f>
        <v>78600</v>
      </c>
      <c r="T36" s="624">
        <f>'[1]On-stream days'!$D$31</f>
        <v>29.07</v>
      </c>
      <c r="U36" s="589">
        <f>[2]A!$E$328</f>
        <v>83476</v>
      </c>
      <c r="V36" s="1295">
        <f t="shared" si="0"/>
        <v>106.20356234096693</v>
      </c>
      <c r="W36" s="590">
        <v>5.82</v>
      </c>
      <c r="X36" s="64"/>
      <c r="Y36" s="1011">
        <v>3</v>
      </c>
      <c r="Z36" s="104" t="s">
        <v>15</v>
      </c>
      <c r="AA36" s="588">
        <f t="shared" ref="AA36:AA41" si="5">30*$AE$29</f>
        <v>45600</v>
      </c>
      <c r="AB36" s="601">
        <f>'[4]On-stream days'!$D$6</f>
        <v>28.68</v>
      </c>
      <c r="AC36" s="617">
        <f>[5]A!$E$288</f>
        <v>43594</v>
      </c>
      <c r="AD36" s="1293">
        <f t="shared" si="1"/>
        <v>95.600877192982452</v>
      </c>
      <c r="AE36" s="588">
        <f>[6]VP!$F$45</f>
        <v>7.96</v>
      </c>
      <c r="AF36" s="588">
        <f>30*$AI$29</f>
        <v>78600</v>
      </c>
      <c r="AG36" s="601">
        <f>'[4]On-stream days'!$D$31</f>
        <v>28.68</v>
      </c>
      <c r="AH36" s="617">
        <f>[5]A!$E$313</f>
        <v>75483</v>
      </c>
      <c r="AI36" s="1293">
        <f t="shared" si="2"/>
        <v>96.034351145038173</v>
      </c>
      <c r="AJ36" s="590">
        <v>5.8129999999999997</v>
      </c>
      <c r="AK36" s="64"/>
    </row>
    <row r="37" spans="2:37" ht="16.5" thickBot="1">
      <c r="L37" s="1011">
        <v>4</v>
      </c>
      <c r="M37" s="104" t="s">
        <v>16</v>
      </c>
      <c r="N37" s="588">
        <f t="shared" ref="N37:N45" si="6">31*$R$29</f>
        <v>47120</v>
      </c>
      <c r="O37" s="589">
        <f>'[1]On-stream days'!$F$6</f>
        <v>31</v>
      </c>
      <c r="P37" s="589">
        <f>[2]A!$F$302</f>
        <v>51422</v>
      </c>
      <c r="Q37" s="1295">
        <f t="shared" si="3"/>
        <v>109.12988115449915</v>
      </c>
      <c r="R37" s="590">
        <f>[3]VP!$H$45</f>
        <v>7.8860000000000001</v>
      </c>
      <c r="S37" s="588">
        <f>31*$V$29</f>
        <v>81220</v>
      </c>
      <c r="T37" s="624">
        <f>'[1]On-stream days'!$F$31</f>
        <v>31</v>
      </c>
      <c r="U37" s="589">
        <f>[2]A!$F$328</f>
        <v>89980</v>
      </c>
      <c r="V37" s="1295">
        <f t="shared" si="0"/>
        <v>110.78552080768284</v>
      </c>
      <c r="W37" s="590">
        <v>5.79</v>
      </c>
      <c r="X37" s="64"/>
      <c r="Y37" s="1011">
        <v>4</v>
      </c>
      <c r="Z37" s="104" t="s">
        <v>16</v>
      </c>
      <c r="AA37" s="588">
        <f>31*$AE$29</f>
        <v>47120</v>
      </c>
      <c r="AB37" s="601">
        <f>'[4]On-stream days'!$F$6</f>
        <v>31</v>
      </c>
      <c r="AC37" s="617">
        <f>[5]A!$F$288</f>
        <v>48434</v>
      </c>
      <c r="AD37" s="1293">
        <f t="shared" si="1"/>
        <v>102.78862478777589</v>
      </c>
      <c r="AE37" s="588">
        <f>[6]VP!$H$45</f>
        <v>7.8519999999999994</v>
      </c>
      <c r="AF37" s="588">
        <f>31*$AI$29</f>
        <v>81220</v>
      </c>
      <c r="AG37" s="601">
        <f>'[4]On-stream days'!$F$31</f>
        <v>30.931999999999999</v>
      </c>
      <c r="AH37" s="617">
        <f>[5]A!$F$313</f>
        <v>83824</v>
      </c>
      <c r="AI37" s="1293">
        <f t="shared" si="2"/>
        <v>103.20610687022901</v>
      </c>
      <c r="AJ37" s="590">
        <v>5.7140000000000004</v>
      </c>
      <c r="AK37" s="64"/>
    </row>
    <row r="38" spans="2:37" ht="16.5" thickBot="1">
      <c r="L38" s="1011">
        <v>5</v>
      </c>
      <c r="M38" s="104" t="s">
        <v>17</v>
      </c>
      <c r="N38" s="588">
        <f t="shared" si="6"/>
        <v>47120</v>
      </c>
      <c r="O38" s="589">
        <f>'[1]On-stream days'!$G$6</f>
        <v>31</v>
      </c>
      <c r="P38" s="589">
        <f>[2]A!$G$302</f>
        <v>52318</v>
      </c>
      <c r="Q38" s="1295">
        <f t="shared" si="3"/>
        <v>111.0314091680815</v>
      </c>
      <c r="R38" s="590">
        <f>[3]VP!$I$45</f>
        <v>7.8230000000000004</v>
      </c>
      <c r="S38" s="588">
        <f>31*$V$29</f>
        <v>81220</v>
      </c>
      <c r="T38" s="624">
        <f>'[1]On-stream days'!$G$31</f>
        <v>31</v>
      </c>
      <c r="U38" s="589">
        <f>[2]A!$G$328</f>
        <v>92461</v>
      </c>
      <c r="V38" s="1295">
        <f t="shared" si="0"/>
        <v>113.84018714602314</v>
      </c>
      <c r="W38" s="590">
        <v>5.7549999999999999</v>
      </c>
      <c r="X38" s="64"/>
      <c r="Y38" s="1011">
        <v>5</v>
      </c>
      <c r="Z38" s="104" t="s">
        <v>17</v>
      </c>
      <c r="AA38" s="588">
        <f>31*$AE$29</f>
        <v>47120</v>
      </c>
      <c r="AB38" s="601">
        <f>'[4]On-stream days'!$G$6</f>
        <v>31</v>
      </c>
      <c r="AC38" s="617">
        <f>[5]A!$G$288</f>
        <v>48245</v>
      </c>
      <c r="AD38" s="1293">
        <f t="shared" si="1"/>
        <v>102.38752122241087</v>
      </c>
      <c r="AE38" s="588">
        <f>[6]VP!$I$45</f>
        <v>7.8039999999999994</v>
      </c>
      <c r="AF38" s="588">
        <f>31*$AI$29</f>
        <v>81220</v>
      </c>
      <c r="AG38" s="588">
        <f>'[4]On-stream days'!$G$31</f>
        <v>31</v>
      </c>
      <c r="AH38" s="617">
        <f>[5]A!$G$313</f>
        <v>83193</v>
      </c>
      <c r="AI38" s="1293">
        <f t="shared" si="2"/>
        <v>102.42920462940162</v>
      </c>
      <c r="AJ38" s="590">
        <v>5.6909999999999998</v>
      </c>
      <c r="AK38" s="64"/>
    </row>
    <row r="39" spans="2:37" ht="18.75" customHeight="1" thickBot="1">
      <c r="L39" s="1011">
        <v>6</v>
      </c>
      <c r="M39" s="104" t="s">
        <v>18</v>
      </c>
      <c r="N39" s="588">
        <f>30*$R$29</f>
        <v>45600</v>
      </c>
      <c r="O39" s="589">
        <f>'[1]On-stream days'!$H$6</f>
        <v>19.2</v>
      </c>
      <c r="P39" s="589">
        <f>[2]A!$H$302</f>
        <v>31941</v>
      </c>
      <c r="Q39" s="1295">
        <f t="shared" si="3"/>
        <v>70.046052631578945</v>
      </c>
      <c r="R39" s="590">
        <f>[3]VP!$J$45</f>
        <v>8.3789999999999996</v>
      </c>
      <c r="S39" s="588">
        <f t="shared" si="4"/>
        <v>78600</v>
      </c>
      <c r="T39" s="624">
        <f>'[1]On-stream days'!$H$31</f>
        <v>16.78</v>
      </c>
      <c r="U39" s="589">
        <f>[2]A!$H$328</f>
        <v>48967</v>
      </c>
      <c r="V39" s="1295">
        <f t="shared" si="0"/>
        <v>62.298982188295163</v>
      </c>
      <c r="W39" s="590">
        <v>6.2</v>
      </c>
      <c r="X39" s="64"/>
      <c r="Y39" s="1011">
        <v>6</v>
      </c>
      <c r="Z39" s="104" t="s">
        <v>18</v>
      </c>
      <c r="AA39" s="588">
        <f t="shared" si="5"/>
        <v>45600</v>
      </c>
      <c r="AB39" s="601">
        <f>'[4]On-stream days'!$H$6</f>
        <v>30</v>
      </c>
      <c r="AC39" s="617">
        <f>[5]A!$H$288</f>
        <v>46593</v>
      </c>
      <c r="AD39" s="1293">
        <f t="shared" si="1"/>
        <v>102.17763157894737</v>
      </c>
      <c r="AE39" s="588">
        <f>[6]VP!$J$45</f>
        <v>7.8109999999999999</v>
      </c>
      <c r="AF39" s="588">
        <f>30*$AI$29</f>
        <v>78600</v>
      </c>
      <c r="AG39" s="588">
        <f>'[4]On-stream days'!$H$31</f>
        <v>30</v>
      </c>
      <c r="AH39" s="617">
        <f>[5]A!$H$313</f>
        <v>80668</v>
      </c>
      <c r="AI39" s="1293">
        <f t="shared" si="2"/>
        <v>102.63104325699746</v>
      </c>
      <c r="AJ39" s="590">
        <v>5.7080000000000002</v>
      </c>
      <c r="AK39" s="64"/>
    </row>
    <row r="40" spans="2:37" ht="16.5" thickBot="1">
      <c r="L40" s="1011">
        <v>7</v>
      </c>
      <c r="M40" s="104" t="s">
        <v>19</v>
      </c>
      <c r="N40" s="588">
        <f t="shared" si="6"/>
        <v>47120</v>
      </c>
      <c r="O40" s="589">
        <f>'[1]On-stream days'!$J$6</f>
        <v>31</v>
      </c>
      <c r="P40" s="589">
        <f>[2]A!$I$302</f>
        <v>54340</v>
      </c>
      <c r="Q40" s="1295">
        <f t="shared" si="3"/>
        <v>115.3225806451613</v>
      </c>
      <c r="R40" s="590">
        <f>[3]VP!$M$45</f>
        <v>7.7309999999999999</v>
      </c>
      <c r="S40" s="588">
        <f>31*$V$29</f>
        <v>81220</v>
      </c>
      <c r="T40" s="624">
        <f>'[1]On-stream days'!$J$31</f>
        <v>29.14</v>
      </c>
      <c r="U40" s="589">
        <f>[2]A!$I$328</f>
        <v>89617</v>
      </c>
      <c r="V40" s="1295">
        <f t="shared" si="0"/>
        <v>110.3385865550357</v>
      </c>
      <c r="W40" s="590">
        <v>5.6849999999999987</v>
      </c>
      <c r="X40" s="64"/>
      <c r="Y40" s="1011">
        <v>7</v>
      </c>
      <c r="Z40" s="104" t="s">
        <v>19</v>
      </c>
      <c r="AA40" s="588">
        <f>31*$AE$29</f>
        <v>47120</v>
      </c>
      <c r="AB40" s="601">
        <f>'[4]On-stream days'!$J$6</f>
        <v>27.94</v>
      </c>
      <c r="AC40" s="617">
        <f>[5]A!$I$288</f>
        <v>42229</v>
      </c>
      <c r="AD40" s="1293">
        <f t="shared" ref="AD40:AD45" si="7">AC40*100/AA40</f>
        <v>89.620118845500855</v>
      </c>
      <c r="AE40" s="590">
        <f>[6]VP!$M$45</f>
        <v>8.109</v>
      </c>
      <c r="AF40" s="588">
        <f>31*$AI$29</f>
        <v>81220</v>
      </c>
      <c r="AG40" s="601">
        <f>'[4]On-stream days'!$J$31</f>
        <v>26.85</v>
      </c>
      <c r="AH40" s="617">
        <f>[5]A!$I$313</f>
        <v>71427.000010000003</v>
      </c>
      <c r="AI40" s="1293">
        <f t="shared" ref="AI40:AI45" si="8">AH40*100/AF40</f>
        <v>87.942624981531651</v>
      </c>
      <c r="AJ40" s="590">
        <v>5.9429999999999996</v>
      </c>
      <c r="AK40" s="64"/>
    </row>
    <row r="41" spans="2:37" ht="16.5" thickBot="1">
      <c r="L41" s="1011">
        <v>8</v>
      </c>
      <c r="M41" s="104" t="s">
        <v>20</v>
      </c>
      <c r="N41" s="588">
        <f>30*$R$29</f>
        <v>45600</v>
      </c>
      <c r="O41" s="589">
        <f>'[1]On-stream days'!$K$6</f>
        <v>30</v>
      </c>
      <c r="P41" s="589">
        <f>[2]A!$J$302</f>
        <v>54380</v>
      </c>
      <c r="Q41" s="1295">
        <f>P41*100/N41</f>
        <v>119.25438596491227</v>
      </c>
      <c r="R41" s="590">
        <f>[3]VP!$N$45</f>
        <v>7.6709999999999994</v>
      </c>
      <c r="S41" s="588">
        <f t="shared" si="4"/>
        <v>78600</v>
      </c>
      <c r="T41" s="624">
        <f>'[1]On-stream days'!$K$31</f>
        <v>30</v>
      </c>
      <c r="U41" s="589">
        <f>[2]A!$J$328</f>
        <v>91842</v>
      </c>
      <c r="V41" s="1295">
        <f>U41*100/S41</f>
        <v>116.84732824427481</v>
      </c>
      <c r="W41" s="590">
        <v>5.6160000000000005</v>
      </c>
      <c r="X41" s="64"/>
      <c r="Y41" s="1011">
        <v>8</v>
      </c>
      <c r="Z41" s="104" t="s">
        <v>20</v>
      </c>
      <c r="AA41" s="588">
        <f t="shared" si="5"/>
        <v>45600</v>
      </c>
      <c r="AB41" s="601">
        <f>'[4]On-stream days'!$K$6</f>
        <v>30</v>
      </c>
      <c r="AC41" s="617">
        <f>[5]A!$J$288</f>
        <v>45947</v>
      </c>
      <c r="AD41" s="1293">
        <f t="shared" si="7"/>
        <v>100.7609649122807</v>
      </c>
      <c r="AE41" s="590">
        <f>[6]VP!$N$45</f>
        <v>7.8159999999999998</v>
      </c>
      <c r="AF41" s="588">
        <f>30*$AI$29</f>
        <v>78600</v>
      </c>
      <c r="AG41" s="588">
        <f>'[4]On-stream days'!$K$31</f>
        <v>30</v>
      </c>
      <c r="AH41" s="617">
        <f>[5]A!$J$313</f>
        <v>79589</v>
      </c>
      <c r="AI41" s="1293">
        <f t="shared" si="8"/>
        <v>101.25826972010178</v>
      </c>
      <c r="AJ41" s="590">
        <v>5.72</v>
      </c>
      <c r="AK41" s="64"/>
    </row>
    <row r="42" spans="2:37" ht="16.5" thickBot="1">
      <c r="L42" s="1011">
        <v>9</v>
      </c>
      <c r="M42" s="104" t="s">
        <v>21</v>
      </c>
      <c r="N42" s="588">
        <f t="shared" si="6"/>
        <v>47120</v>
      </c>
      <c r="O42" s="589">
        <f>'[1]On-stream days'!$L$6</f>
        <v>30.9</v>
      </c>
      <c r="P42" s="589">
        <f>[2]A!$K$302</f>
        <v>55697</v>
      </c>
      <c r="Q42" s="1295">
        <f>P42*100/N42</f>
        <v>118.20246179966044</v>
      </c>
      <c r="R42" s="590">
        <f>[3]VP!$O$45</f>
        <v>7.6689999999999996</v>
      </c>
      <c r="S42" s="588">
        <f>31*$V$29</f>
        <v>81220</v>
      </c>
      <c r="T42" s="624">
        <f>'[1]On-stream days'!$L$31</f>
        <v>30.94</v>
      </c>
      <c r="U42" s="589">
        <f>[2]A!$K$328</f>
        <v>94491</v>
      </c>
      <c r="V42" s="1295">
        <f>U42*100/S42</f>
        <v>116.33957153410491</v>
      </c>
      <c r="W42" s="590">
        <v>5.6340000000000003</v>
      </c>
      <c r="X42" s="64"/>
      <c r="Y42" s="1011">
        <v>9</v>
      </c>
      <c r="Z42" s="104" t="s">
        <v>21</v>
      </c>
      <c r="AA42" s="588">
        <f>31*$AE$29</f>
        <v>47120</v>
      </c>
      <c r="AB42" s="601">
        <f>'[4]On-stream days'!$L$6</f>
        <v>31</v>
      </c>
      <c r="AC42" s="617">
        <f>[5]A!$K$288</f>
        <v>47232</v>
      </c>
      <c r="AD42" s="1293">
        <f t="shared" si="7"/>
        <v>100.2376910016978</v>
      </c>
      <c r="AE42" s="590">
        <f>[6]VP!$O$45</f>
        <v>7.8479999999999999</v>
      </c>
      <c r="AF42" s="588">
        <f>31*$AI$29</f>
        <v>81220</v>
      </c>
      <c r="AG42" s="599">
        <f>'[4]On-stream days'!$L$31</f>
        <v>30.6</v>
      </c>
      <c r="AH42" s="617">
        <f>[5]A!$K$313</f>
        <v>81207</v>
      </c>
      <c r="AI42" s="1293">
        <f t="shared" si="8"/>
        <v>99.983994090125591</v>
      </c>
      <c r="AJ42" s="590">
        <v>5.7949999999999999</v>
      </c>
      <c r="AK42" s="64"/>
    </row>
    <row r="43" spans="2:37" ht="16.5" thickBot="1">
      <c r="L43" s="1011">
        <v>10</v>
      </c>
      <c r="M43" s="104" t="s">
        <v>22</v>
      </c>
      <c r="N43" s="588">
        <f>31*$R$29</f>
        <v>47120</v>
      </c>
      <c r="O43" s="589">
        <f>'[1]On-stream days'!$N$6</f>
        <v>31</v>
      </c>
      <c r="P43" s="589">
        <f>[2]A!$L$302</f>
        <v>55805</v>
      </c>
      <c r="Q43" s="1295">
        <f>P43*100/N43</f>
        <v>118.43166383701188</v>
      </c>
      <c r="R43" s="590">
        <f>[3]VP!$R$45</f>
        <v>7.6839999999999993</v>
      </c>
      <c r="S43" s="588">
        <f>31*$V$29</f>
        <v>81220</v>
      </c>
      <c r="T43" s="624">
        <f>'[1]On-stream days'!$N$31</f>
        <v>31</v>
      </c>
      <c r="U43" s="589">
        <f>[2]A!$L$328</f>
        <v>93530</v>
      </c>
      <c r="V43" s="1295">
        <f>U43*100/S43</f>
        <v>115.15636542723468</v>
      </c>
      <c r="W43" s="590">
        <v>5.6219999999999999</v>
      </c>
      <c r="X43" s="64"/>
      <c r="Y43" s="1011">
        <v>10</v>
      </c>
      <c r="Z43" s="104" t="s">
        <v>22</v>
      </c>
      <c r="AA43" s="588">
        <f>31*$AE$29</f>
        <v>47120</v>
      </c>
      <c r="AB43" s="601">
        <f>'[4]On-stream days'!$N$6</f>
        <v>31</v>
      </c>
      <c r="AC43" s="617">
        <f>[5]A!$L$288</f>
        <v>47181</v>
      </c>
      <c r="AD43" s="1293">
        <f t="shared" si="7"/>
        <v>100.12945670628183</v>
      </c>
      <c r="AE43" s="590">
        <f>[6]VP!$R$45</f>
        <v>7.782</v>
      </c>
      <c r="AF43" s="588">
        <f>30*$AI$29</f>
        <v>78600</v>
      </c>
      <c r="AG43" s="588">
        <f>'[4]On-stream days'!$N$31</f>
        <v>31</v>
      </c>
      <c r="AH43" s="617">
        <f>[5]A!$L$313</f>
        <v>81871</v>
      </c>
      <c r="AI43" s="1293">
        <f t="shared" si="8"/>
        <v>104.16157760814249</v>
      </c>
      <c r="AJ43" s="590">
        <v>5.7160000000000002</v>
      </c>
      <c r="AK43" s="64"/>
    </row>
    <row r="44" spans="2:37" s="545" customFormat="1" ht="16.5" thickBot="1">
      <c r="B44" s="516"/>
      <c r="D44" s="516"/>
      <c r="J44" s="516"/>
      <c r="L44" s="1012">
        <v>11</v>
      </c>
      <c r="M44" s="1013" t="s">
        <v>23</v>
      </c>
      <c r="N44" s="588">
        <f>28*$R$29</f>
        <v>42560</v>
      </c>
      <c r="O44" s="589">
        <f>'[1]On-stream days'!$O$6</f>
        <v>28</v>
      </c>
      <c r="P44" s="589">
        <f>[2]A!$M$302</f>
        <v>47687</v>
      </c>
      <c r="Q44" s="1295">
        <f>P44*100/N44</f>
        <v>112.04652255639098</v>
      </c>
      <c r="R44" s="590">
        <f>[3]VP!$S$45</f>
        <v>7.6989999999999998</v>
      </c>
      <c r="S44" s="588">
        <f>28*$V$29</f>
        <v>73360</v>
      </c>
      <c r="T44" s="624">
        <f>'[1]On-stream days'!$O$31</f>
        <v>28</v>
      </c>
      <c r="U44" s="589">
        <f>[2]A!$M$328</f>
        <v>85228</v>
      </c>
      <c r="V44" s="1295">
        <f>U44*100/S44</f>
        <v>116.17775354416575</v>
      </c>
      <c r="W44" s="590">
        <v>5.6520000000000001</v>
      </c>
      <c r="X44" s="65"/>
      <c r="Y44" s="1012">
        <v>11</v>
      </c>
      <c r="Z44" s="1031" t="s">
        <v>23</v>
      </c>
      <c r="AA44" s="588">
        <f>28*$AE$29</f>
        <v>42560</v>
      </c>
      <c r="AB44" s="601">
        <f>'[4]On-stream days'!$O$6</f>
        <v>28</v>
      </c>
      <c r="AC44" s="617">
        <f>[5]A!$M$288</f>
        <v>42514</v>
      </c>
      <c r="AD44" s="1293">
        <f t="shared" si="7"/>
        <v>99.891917293233078</v>
      </c>
      <c r="AE44" s="590">
        <f>[6]VP!$S$45</f>
        <v>7.8090000000000002</v>
      </c>
      <c r="AF44" s="588">
        <f>28*$AI$29</f>
        <v>73360</v>
      </c>
      <c r="AG44" s="588">
        <f>'[4]On-stream days'!$O$31</f>
        <v>28</v>
      </c>
      <c r="AH44" s="617">
        <f>[5]A!$M$313</f>
        <v>73375</v>
      </c>
      <c r="AI44" s="1293">
        <f t="shared" si="8"/>
        <v>100.02044711014176</v>
      </c>
      <c r="AJ44" s="590">
        <v>5.774</v>
      </c>
      <c r="AK44" s="65"/>
    </row>
    <row r="45" spans="2:37" ht="15.75">
      <c r="L45" s="188">
        <v>12</v>
      </c>
      <c r="M45" s="671" t="s">
        <v>24</v>
      </c>
      <c r="N45" s="592">
        <f t="shared" si="6"/>
        <v>47120</v>
      </c>
      <c r="O45" s="625">
        <f>'[1]On-stream days'!$P$6</f>
        <v>2.5500000000000007</v>
      </c>
      <c r="P45" s="593">
        <f>1700*3</f>
        <v>5100</v>
      </c>
      <c r="Q45" s="1296">
        <f>P45*100/N45</f>
        <v>10.823429541595925</v>
      </c>
      <c r="R45" s="594">
        <f>[7]VP!$T$45</f>
        <v>9.6029999999999998</v>
      </c>
      <c r="S45" s="592">
        <f>31*$V$29</f>
        <v>81220</v>
      </c>
      <c r="T45" s="625">
        <f>'[1]On-stream days'!$P$31</f>
        <v>2.3299999999999983</v>
      </c>
      <c r="U45" s="593">
        <f>[8]A!$N$328</f>
        <v>5542</v>
      </c>
      <c r="V45" s="1297">
        <f>U45*100/S45</f>
        <v>6.8234425018468361</v>
      </c>
      <c r="W45" s="595">
        <v>7.5729999999999995</v>
      </c>
      <c r="X45" s="64"/>
      <c r="Y45" s="188">
        <v>12</v>
      </c>
      <c r="Z45" s="671" t="s">
        <v>24</v>
      </c>
      <c r="AA45" s="592">
        <f>31*$AE$29</f>
        <v>47120</v>
      </c>
      <c r="AB45" s="626">
        <f>'[4]On-stream days'!$P$6</f>
        <v>15.6</v>
      </c>
      <c r="AC45" s="618">
        <f>[5]A!$N$288</f>
        <v>23251</v>
      </c>
      <c r="AD45" s="1294">
        <f t="shared" si="7"/>
        <v>49.344227504244479</v>
      </c>
      <c r="AE45" s="594">
        <f>[6]VP!$T$45</f>
        <v>7.9030000000000005</v>
      </c>
      <c r="AF45" s="592">
        <f>31*$AI$29</f>
        <v>81220</v>
      </c>
      <c r="AG45" s="626">
        <f>'[4]On-stream days'!$P$31</f>
        <v>15.53</v>
      </c>
      <c r="AH45" s="618">
        <f>[5]A!$N$313</f>
        <v>40235</v>
      </c>
      <c r="AI45" s="1294">
        <f t="shared" si="8"/>
        <v>49.538291061314951</v>
      </c>
      <c r="AJ45" s="594">
        <v>5.9080000000000004</v>
      </c>
      <c r="AK45" s="64"/>
    </row>
    <row r="46" spans="2:37" ht="15.75">
      <c r="L46" s="1306"/>
      <c r="M46" s="1307"/>
      <c r="N46" s="1307"/>
      <c r="O46" s="1307">
        <f>SUM(O34:O45)</f>
        <v>325.64999999999998</v>
      </c>
      <c r="P46" s="1307"/>
      <c r="Q46" s="1308">
        <f>SUMPRODUCT(N34:N45,Q34:Q45)/SUM(N34:N45)</f>
        <v>101.20187454938717</v>
      </c>
      <c r="R46" s="1309">
        <f>SUMPRODUCT(R34:R45,P34:P45)/SUM(P34:P45)</f>
        <v>7.8071415094003571</v>
      </c>
      <c r="S46" s="1307"/>
      <c r="T46" s="1307">
        <f>SUM(T34:T45)</f>
        <v>320.15999999999997</v>
      </c>
      <c r="U46" s="1307">
        <f>SUM(U34:U45)</f>
        <v>950745</v>
      </c>
      <c r="V46" s="1308">
        <f>SUMPRODUCT(S34:S45,V34:V45)/SUM(S34:S45)</f>
        <v>99.419115340374361</v>
      </c>
      <c r="W46" s="1309">
        <f>SUMPRODUCT(W34:W45,U34:U45)/SUM(U34:U45)</f>
        <v>5.7413531988072508</v>
      </c>
      <c r="X46" s="64"/>
      <c r="Y46" s="1303"/>
      <c r="Z46" s="1122"/>
      <c r="AA46" s="1122"/>
      <c r="AB46" s="1122">
        <f>SUM(AB34:AB45)</f>
        <v>333.06000000000006</v>
      </c>
      <c r="AC46" s="1122"/>
      <c r="AD46" s="1304">
        <f>SUMPRODUCT(AA34:AA45,AD34:AD45)/SUM(AA34:AA45)</f>
        <v>91.839762076423938</v>
      </c>
      <c r="AE46" s="1305">
        <f>SUMPRODUCT(AE34:AE45,AC34:AC45)/SUM(AC34:AC45)</f>
        <v>7.8762238095331538</v>
      </c>
      <c r="AF46" s="1122"/>
      <c r="AG46" s="1122">
        <f>SUM(AG34:AG45)</f>
        <v>330.77199999999999</v>
      </c>
      <c r="AH46" s="1122"/>
      <c r="AI46" s="1304">
        <f>SUMPRODUCT(AF34:AF45,AI34:AI45)/SUM(AF34:AF45)</f>
        <v>92.123039175614466</v>
      </c>
      <c r="AJ46" s="1305">
        <f>SUMPRODUCT(AJ34:AJ45,AH34:AH45)/SUM(AH34:AH45)</f>
        <v>5.7813933520703964</v>
      </c>
      <c r="AK46" s="64"/>
    </row>
    <row r="47" spans="2:37" ht="15.75">
      <c r="L47" s="913" t="s">
        <v>76</v>
      </c>
      <c r="M47" s="913" t="s">
        <v>960</v>
      </c>
      <c r="N47" s="913"/>
      <c r="O47" s="64"/>
      <c r="P47" s="64"/>
      <c r="Q47" s="64"/>
      <c r="R47" s="64"/>
      <c r="S47" s="64"/>
      <c r="T47" s="64"/>
      <c r="U47" s="64"/>
      <c r="V47" s="64"/>
      <c r="W47" s="64"/>
      <c r="X47" s="981"/>
      <c r="Y47" s="913" t="s">
        <v>80</v>
      </c>
      <c r="Z47" s="913" t="s">
        <v>964</v>
      </c>
      <c r="AA47" s="64"/>
      <c r="AB47" s="64"/>
      <c r="AC47" s="64"/>
      <c r="AD47" s="64"/>
      <c r="AE47" s="64"/>
      <c r="AF47" s="64"/>
      <c r="AG47" s="64"/>
      <c r="AH47" s="64"/>
      <c r="AI47" s="64"/>
      <c r="AJ47" s="64"/>
      <c r="AK47" s="64"/>
    </row>
    <row r="48" spans="2:37" ht="15.75" thickBot="1">
      <c r="L48" s="962"/>
      <c r="M48" s="64"/>
      <c r="N48" s="64"/>
      <c r="O48" s="64"/>
      <c r="P48" s="64"/>
      <c r="Q48" s="64"/>
      <c r="R48" s="64"/>
      <c r="S48" s="64"/>
      <c r="T48" s="64"/>
      <c r="U48" s="64"/>
      <c r="V48" s="64"/>
      <c r="W48" s="64"/>
      <c r="X48" s="64"/>
      <c r="Y48" s="962"/>
      <c r="Z48" s="64"/>
      <c r="AA48" s="64"/>
      <c r="AB48" s="64"/>
      <c r="AC48" s="64"/>
      <c r="AD48" s="64"/>
      <c r="AE48" s="64"/>
      <c r="AF48" s="64"/>
      <c r="AG48" s="64"/>
      <c r="AH48" s="64"/>
      <c r="AI48" s="64"/>
      <c r="AJ48" s="64"/>
      <c r="AK48" s="64"/>
    </row>
    <row r="49" spans="12:37" ht="16.5" customHeight="1" thickBot="1">
      <c r="L49" s="1004" t="s">
        <v>0</v>
      </c>
      <c r="M49" s="1014" t="s">
        <v>1</v>
      </c>
      <c r="N49" s="1400" t="s">
        <v>2</v>
      </c>
      <c r="O49" s="1401"/>
      <c r="P49" s="1401"/>
      <c r="Q49" s="1401"/>
      <c r="R49" s="1402"/>
      <c r="S49" s="1400" t="s">
        <v>3</v>
      </c>
      <c r="T49" s="1401"/>
      <c r="U49" s="1401"/>
      <c r="V49" s="1401"/>
      <c r="W49" s="1402"/>
      <c r="X49" s="64"/>
      <c r="Y49" s="1004" t="s">
        <v>0</v>
      </c>
      <c r="Z49" s="1014" t="s">
        <v>1</v>
      </c>
      <c r="AA49" s="1400" t="s">
        <v>2</v>
      </c>
      <c r="AB49" s="1401"/>
      <c r="AC49" s="1401"/>
      <c r="AD49" s="1401"/>
      <c r="AE49" s="1402"/>
      <c r="AF49" s="1400" t="s">
        <v>3</v>
      </c>
      <c r="AG49" s="1401"/>
      <c r="AH49" s="1401"/>
      <c r="AI49" s="1401"/>
      <c r="AJ49" s="1402"/>
      <c r="AK49" s="64"/>
    </row>
    <row r="50" spans="12:37" ht="15.75">
      <c r="L50" s="1392"/>
      <c r="M50" s="1392"/>
      <c r="N50" s="1006" t="s">
        <v>4</v>
      </c>
      <c r="O50" s="1015" t="s">
        <v>6</v>
      </c>
      <c r="P50" s="1016" t="s">
        <v>7</v>
      </c>
      <c r="Q50" s="1392" t="s">
        <v>8</v>
      </c>
      <c r="R50" s="1392" t="s">
        <v>32</v>
      </c>
      <c r="S50" s="1006" t="s">
        <v>4</v>
      </c>
      <c r="T50" s="1015" t="s">
        <v>6</v>
      </c>
      <c r="U50" s="1017" t="s">
        <v>7</v>
      </c>
      <c r="V50" s="1392" t="s">
        <v>8</v>
      </c>
      <c r="W50" s="1392" t="s">
        <v>32</v>
      </c>
      <c r="X50" s="64"/>
      <c r="Y50" s="1392"/>
      <c r="Z50" s="1392"/>
      <c r="AA50" s="1006" t="s">
        <v>4</v>
      </c>
      <c r="AB50" s="1015" t="s">
        <v>6</v>
      </c>
      <c r="AC50" s="1016" t="s">
        <v>7</v>
      </c>
      <c r="AD50" s="1392" t="s">
        <v>8</v>
      </c>
      <c r="AE50" s="1392" t="s">
        <v>32</v>
      </c>
      <c r="AF50" s="1006" t="s">
        <v>4</v>
      </c>
      <c r="AG50" s="1015" t="s">
        <v>6</v>
      </c>
      <c r="AH50" s="1017" t="s">
        <v>7</v>
      </c>
      <c r="AI50" s="1392" t="s">
        <v>8</v>
      </c>
      <c r="AJ50" s="1392" t="s">
        <v>32</v>
      </c>
      <c r="AK50" s="64"/>
    </row>
    <row r="51" spans="12:37" ht="16.5" thickBot="1">
      <c r="L51" s="1393"/>
      <c r="M51" s="1393"/>
      <c r="N51" s="1005" t="s">
        <v>5</v>
      </c>
      <c r="O51" s="1018"/>
      <c r="P51" s="1019"/>
      <c r="Q51" s="1393"/>
      <c r="R51" s="1393"/>
      <c r="S51" s="1005" t="s">
        <v>5</v>
      </c>
      <c r="T51" s="1018"/>
      <c r="U51" s="1020"/>
      <c r="V51" s="1393"/>
      <c r="W51" s="1393"/>
      <c r="X51" s="64"/>
      <c r="Y51" s="1393"/>
      <c r="Z51" s="1393"/>
      <c r="AA51" s="1005" t="s">
        <v>5</v>
      </c>
      <c r="AB51" s="1018"/>
      <c r="AC51" s="1019"/>
      <c r="AD51" s="1393"/>
      <c r="AE51" s="1393"/>
      <c r="AF51" s="1005" t="s">
        <v>5</v>
      </c>
      <c r="AG51" s="1018"/>
      <c r="AH51" s="1020"/>
      <c r="AI51" s="1393"/>
      <c r="AJ51" s="1393"/>
      <c r="AK51" s="64"/>
    </row>
    <row r="52" spans="12:37" ht="36.75" customHeight="1" thickBot="1">
      <c r="L52" s="1009"/>
      <c r="M52" s="1010"/>
      <c r="N52" s="1010" t="s">
        <v>9</v>
      </c>
      <c r="O52" s="1010" t="s">
        <v>10</v>
      </c>
      <c r="P52" s="1010" t="s">
        <v>11</v>
      </c>
      <c r="Q52" s="1010" t="s">
        <v>12</v>
      </c>
      <c r="R52" s="1010" t="s">
        <v>33</v>
      </c>
      <c r="S52" s="1010" t="s">
        <v>9</v>
      </c>
      <c r="T52" s="1010" t="s">
        <v>10</v>
      </c>
      <c r="U52" s="1010" t="s">
        <v>11</v>
      </c>
      <c r="V52" s="1010" t="s">
        <v>12</v>
      </c>
      <c r="W52" s="1010" t="s">
        <v>33</v>
      </c>
      <c r="X52" s="64"/>
      <c r="Y52" s="1009"/>
      <c r="Z52" s="1010"/>
      <c r="AA52" s="1032" t="s">
        <v>9</v>
      </c>
      <c r="AB52" s="1032" t="s">
        <v>10</v>
      </c>
      <c r="AC52" s="1032" t="s">
        <v>11</v>
      </c>
      <c r="AD52" s="1032" t="s">
        <v>12</v>
      </c>
      <c r="AE52" s="1010" t="s">
        <v>33</v>
      </c>
      <c r="AF52" s="1032" t="s">
        <v>9</v>
      </c>
      <c r="AG52" s="1032" t="s">
        <v>10</v>
      </c>
      <c r="AH52" s="1032" t="s">
        <v>11</v>
      </c>
      <c r="AI52" s="1032" t="s">
        <v>12</v>
      </c>
      <c r="AJ52" s="1010" t="s">
        <v>33</v>
      </c>
      <c r="AK52" s="64"/>
    </row>
    <row r="53" spans="12:37" ht="16.5" thickBot="1">
      <c r="L53" s="1116">
        <v>1</v>
      </c>
      <c r="M53" s="1208" t="s">
        <v>13</v>
      </c>
      <c r="N53" s="588">
        <f>O34</f>
        <v>30</v>
      </c>
      <c r="O53" s="588">
        <f>P34</f>
        <v>51158</v>
      </c>
      <c r="P53" s="1263">
        <f>Q34</f>
        <v>112.18859649122807</v>
      </c>
      <c r="Q53" s="590">
        <f>R34</f>
        <v>7.7989999999999995</v>
      </c>
      <c r="R53" s="1021">
        <f t="shared" ref="R53:R62" si="9">O53*Q53</f>
        <v>398981.24199999997</v>
      </c>
      <c r="S53" s="601">
        <f t="shared" ref="S53:V57" si="10">T34</f>
        <v>29.93</v>
      </c>
      <c r="T53" s="588">
        <f t="shared" si="10"/>
        <v>86831</v>
      </c>
      <c r="U53" s="1264">
        <f t="shared" si="10"/>
        <v>110.47201017811705</v>
      </c>
      <c r="V53" s="590">
        <f t="shared" si="10"/>
        <v>5.7290000000000001</v>
      </c>
      <c r="W53" s="1021">
        <f t="shared" ref="W53:W62" si="11">T53*V53</f>
        <v>497454.799</v>
      </c>
      <c r="X53" s="64"/>
      <c r="Y53" s="1116">
        <v>1</v>
      </c>
      <c r="Z53" s="1120" t="s">
        <v>13</v>
      </c>
      <c r="AA53" s="619"/>
      <c r="AB53" s="619"/>
      <c r="AC53" s="1270"/>
      <c r="AD53" s="619"/>
      <c r="AE53" s="1033">
        <f t="shared" ref="AE53:AE64" si="12">AB53*AD53</f>
        <v>0</v>
      </c>
      <c r="AF53" s="619">
        <f>AG34</f>
        <v>30</v>
      </c>
      <c r="AG53" s="619">
        <f>AH34</f>
        <v>80030</v>
      </c>
      <c r="AH53" s="1268">
        <f>AI34</f>
        <v>101.81933842239185</v>
      </c>
      <c r="AI53" s="620">
        <f>AJ34</f>
        <v>5.7169999999999996</v>
      </c>
      <c r="AJ53" s="1034">
        <f t="shared" ref="AJ53:AJ64" si="13">AG53*AI53</f>
        <v>457531.50999999995</v>
      </c>
      <c r="AK53" s="64"/>
    </row>
    <row r="54" spans="12:37" ht="16.5" thickBot="1">
      <c r="L54" s="1116">
        <v>2</v>
      </c>
      <c r="M54" s="1118"/>
      <c r="N54" s="588">
        <f t="shared" ref="N54:Q57" si="14">O35</f>
        <v>31</v>
      </c>
      <c r="O54" s="588">
        <f t="shared" si="14"/>
        <v>52041</v>
      </c>
      <c r="P54" s="1263">
        <f t="shared" si="14"/>
        <v>110.44354838709677</v>
      </c>
      <c r="Q54" s="590">
        <f t="shared" si="14"/>
        <v>7.7989999999999995</v>
      </c>
      <c r="R54" s="1021">
        <f t="shared" si="9"/>
        <v>405867.75899999996</v>
      </c>
      <c r="S54" s="601">
        <f t="shared" si="10"/>
        <v>30.97</v>
      </c>
      <c r="T54" s="588">
        <f t="shared" si="10"/>
        <v>88780</v>
      </c>
      <c r="U54" s="1264">
        <f t="shared" si="10"/>
        <v>109.30805220389067</v>
      </c>
      <c r="V54" s="590">
        <f t="shared" si="10"/>
        <v>5.7610000000000001</v>
      </c>
      <c r="W54" s="1021">
        <f t="shared" si="11"/>
        <v>511461.58</v>
      </c>
      <c r="X54" s="64"/>
      <c r="Y54" s="1116">
        <v>2</v>
      </c>
      <c r="Z54" s="1119"/>
      <c r="AA54" s="619">
        <f t="shared" ref="AA54:AD56" si="15">AB37</f>
        <v>31</v>
      </c>
      <c r="AB54" s="619">
        <f t="shared" si="15"/>
        <v>48434</v>
      </c>
      <c r="AC54" s="1268">
        <f t="shared" si="15"/>
        <v>102.78862478777589</v>
      </c>
      <c r="AD54" s="619">
        <f t="shared" si="15"/>
        <v>7.8519999999999994</v>
      </c>
      <c r="AE54" s="1033">
        <f t="shared" si="12"/>
        <v>380303.76799999998</v>
      </c>
      <c r="AF54" s="620"/>
      <c r="AG54" s="619"/>
      <c r="AH54" s="1268"/>
      <c r="AI54" s="620"/>
      <c r="AJ54" s="1034">
        <f t="shared" si="13"/>
        <v>0</v>
      </c>
      <c r="AK54" s="64"/>
    </row>
    <row r="55" spans="12:37" ht="16.5" thickBot="1">
      <c r="L55" s="1116">
        <v>3</v>
      </c>
      <c r="M55" s="1118"/>
      <c r="N55" s="588">
        <f t="shared" si="14"/>
        <v>30</v>
      </c>
      <c r="O55" s="588">
        <f t="shared" si="14"/>
        <v>49579</v>
      </c>
      <c r="P55" s="1263">
        <f t="shared" si="14"/>
        <v>108.72587719298245</v>
      </c>
      <c r="Q55" s="590">
        <f t="shared" si="14"/>
        <v>7.8029999999999999</v>
      </c>
      <c r="R55" s="1021">
        <f t="shared" si="9"/>
        <v>386864.93699999998</v>
      </c>
      <c r="S55" s="601">
        <f t="shared" si="10"/>
        <v>29.07</v>
      </c>
      <c r="T55" s="588">
        <f t="shared" si="10"/>
        <v>83476</v>
      </c>
      <c r="U55" s="1264">
        <f t="shared" si="10"/>
        <v>106.20356234096693</v>
      </c>
      <c r="V55" s="590">
        <f t="shared" si="10"/>
        <v>5.82</v>
      </c>
      <c r="W55" s="1021">
        <f t="shared" si="11"/>
        <v>485830.32</v>
      </c>
      <c r="X55" s="64"/>
      <c r="Y55" s="1116">
        <v>3</v>
      </c>
      <c r="Z55" s="1119"/>
      <c r="AA55" s="619">
        <f t="shared" si="15"/>
        <v>31</v>
      </c>
      <c r="AB55" s="619">
        <f t="shared" si="15"/>
        <v>48245</v>
      </c>
      <c r="AC55" s="1268">
        <f t="shared" si="15"/>
        <v>102.38752122241087</v>
      </c>
      <c r="AD55" s="619">
        <f t="shared" si="15"/>
        <v>7.8039999999999994</v>
      </c>
      <c r="AE55" s="1033">
        <f t="shared" si="12"/>
        <v>376503.98</v>
      </c>
      <c r="AF55" s="619">
        <f t="shared" ref="AF55:AI56" si="16">AG38</f>
        <v>31</v>
      </c>
      <c r="AG55" s="619">
        <f t="shared" si="16"/>
        <v>83193</v>
      </c>
      <c r="AH55" s="1268">
        <f t="shared" si="16"/>
        <v>102.42920462940162</v>
      </c>
      <c r="AI55" s="620">
        <f t="shared" si="16"/>
        <v>5.6909999999999998</v>
      </c>
      <c r="AJ55" s="1034">
        <f t="shared" si="13"/>
        <v>473451.36300000001</v>
      </c>
      <c r="AK55" s="64"/>
    </row>
    <row r="56" spans="12:37" ht="16.5" thickBot="1">
      <c r="L56" s="1116">
        <v>4</v>
      </c>
      <c r="M56" s="1118"/>
      <c r="N56" s="588">
        <f t="shared" si="14"/>
        <v>31</v>
      </c>
      <c r="O56" s="588">
        <f t="shared" si="14"/>
        <v>51422</v>
      </c>
      <c r="P56" s="1263">
        <f t="shared" si="14"/>
        <v>109.12988115449915</v>
      </c>
      <c r="Q56" s="590">
        <f t="shared" si="14"/>
        <v>7.8860000000000001</v>
      </c>
      <c r="R56" s="1021">
        <f t="shared" si="9"/>
        <v>405513.89199999999</v>
      </c>
      <c r="S56" s="601">
        <f t="shared" si="10"/>
        <v>31</v>
      </c>
      <c r="T56" s="588">
        <f t="shared" si="10"/>
        <v>89980</v>
      </c>
      <c r="U56" s="1264">
        <f t="shared" si="10"/>
        <v>110.78552080768284</v>
      </c>
      <c r="V56" s="590">
        <f t="shared" si="10"/>
        <v>5.79</v>
      </c>
      <c r="W56" s="1021">
        <f t="shared" si="11"/>
        <v>520984.2</v>
      </c>
      <c r="X56" s="64"/>
      <c r="Y56" s="1116">
        <v>4</v>
      </c>
      <c r="Z56" s="1119"/>
      <c r="AA56" s="619">
        <f t="shared" si="15"/>
        <v>30</v>
      </c>
      <c r="AB56" s="619">
        <f t="shared" si="15"/>
        <v>46593</v>
      </c>
      <c r="AC56" s="1268">
        <f t="shared" si="15"/>
        <v>102.17763157894737</v>
      </c>
      <c r="AD56" s="619">
        <f t="shared" si="15"/>
        <v>7.8109999999999999</v>
      </c>
      <c r="AE56" s="1033">
        <f t="shared" si="12"/>
        <v>363937.92300000001</v>
      </c>
      <c r="AF56" s="619">
        <f t="shared" si="16"/>
        <v>30</v>
      </c>
      <c r="AG56" s="619">
        <f t="shared" si="16"/>
        <v>80668</v>
      </c>
      <c r="AH56" s="1268">
        <f t="shared" si="16"/>
        <v>102.63104325699746</v>
      </c>
      <c r="AI56" s="620">
        <f t="shared" si="16"/>
        <v>5.7080000000000002</v>
      </c>
      <c r="AJ56" s="1034">
        <f t="shared" si="13"/>
        <v>460452.94400000002</v>
      </c>
      <c r="AK56" s="64"/>
    </row>
    <row r="57" spans="12:37" ht="16.5" thickBot="1">
      <c r="L57" s="1116">
        <v>5</v>
      </c>
      <c r="M57" s="1118"/>
      <c r="N57" s="588">
        <f t="shared" si="14"/>
        <v>31</v>
      </c>
      <c r="O57" s="588">
        <f t="shared" si="14"/>
        <v>52318</v>
      </c>
      <c r="P57" s="1263">
        <f t="shared" si="14"/>
        <v>111.0314091680815</v>
      </c>
      <c r="Q57" s="590">
        <f t="shared" si="14"/>
        <v>7.8230000000000004</v>
      </c>
      <c r="R57" s="1021">
        <f t="shared" si="9"/>
        <v>409283.71400000004</v>
      </c>
      <c r="S57" s="601">
        <f t="shared" si="10"/>
        <v>31</v>
      </c>
      <c r="T57" s="588">
        <f t="shared" si="10"/>
        <v>92461</v>
      </c>
      <c r="U57" s="1264">
        <f t="shared" si="10"/>
        <v>113.84018714602314</v>
      </c>
      <c r="V57" s="590">
        <f t="shared" si="10"/>
        <v>5.7549999999999999</v>
      </c>
      <c r="W57" s="1021">
        <f t="shared" si="11"/>
        <v>532113.05499999993</v>
      </c>
      <c r="X57" s="64"/>
      <c r="Y57" s="1116">
        <v>5</v>
      </c>
      <c r="Z57" s="1119"/>
      <c r="AA57" s="619">
        <f>AB41</f>
        <v>30</v>
      </c>
      <c r="AB57" s="619">
        <f>AC41</f>
        <v>45947</v>
      </c>
      <c r="AC57" s="1268">
        <f>AD41</f>
        <v>100.7609649122807</v>
      </c>
      <c r="AD57" s="619">
        <f>AE41</f>
        <v>7.8159999999999998</v>
      </c>
      <c r="AE57" s="1033">
        <f t="shared" si="12"/>
        <v>359121.75199999998</v>
      </c>
      <c r="AF57" s="619">
        <f>AG41</f>
        <v>30</v>
      </c>
      <c r="AG57" s="619">
        <f>AH41</f>
        <v>79589</v>
      </c>
      <c r="AH57" s="1268">
        <f>AI41</f>
        <v>101.25826972010178</v>
      </c>
      <c r="AI57" s="620">
        <f>AJ41</f>
        <v>5.72</v>
      </c>
      <c r="AJ57" s="1034">
        <f t="shared" si="13"/>
        <v>455249.07999999996</v>
      </c>
      <c r="AK57" s="64"/>
    </row>
    <row r="58" spans="12:37" ht="16.5" thickBot="1">
      <c r="L58" s="1116">
        <v>6</v>
      </c>
      <c r="M58" s="1118"/>
      <c r="N58" s="588">
        <f>O40</f>
        <v>31</v>
      </c>
      <c r="O58" s="588">
        <f>P40</f>
        <v>54340</v>
      </c>
      <c r="P58" s="1263">
        <f>Q40</f>
        <v>115.3225806451613</v>
      </c>
      <c r="Q58" s="590">
        <f>R40</f>
        <v>7.7309999999999999</v>
      </c>
      <c r="R58" s="1021">
        <f t="shared" si="9"/>
        <v>420102.54</v>
      </c>
      <c r="S58" s="601">
        <f t="shared" ref="S58:V62" si="17">T40</f>
        <v>29.14</v>
      </c>
      <c r="T58" s="588">
        <f t="shared" si="17"/>
        <v>89617</v>
      </c>
      <c r="U58" s="1264">
        <f t="shared" si="17"/>
        <v>110.3385865550357</v>
      </c>
      <c r="V58" s="590">
        <f t="shared" si="17"/>
        <v>5.6849999999999987</v>
      </c>
      <c r="W58" s="1021">
        <f t="shared" si="11"/>
        <v>509472.6449999999</v>
      </c>
      <c r="X58" s="64"/>
      <c r="Y58" s="1116">
        <v>6</v>
      </c>
      <c r="Z58" s="1119"/>
      <c r="AA58" s="619">
        <f t="shared" ref="AA58:AD59" si="18">AB42</f>
        <v>31</v>
      </c>
      <c r="AB58" s="619">
        <f t="shared" si="18"/>
        <v>47232</v>
      </c>
      <c r="AC58" s="1268">
        <f t="shared" si="18"/>
        <v>100.2376910016978</v>
      </c>
      <c r="AD58" s="619">
        <f t="shared" si="18"/>
        <v>7.8479999999999999</v>
      </c>
      <c r="AE58" s="1033">
        <f t="shared" si="12"/>
        <v>370676.73599999998</v>
      </c>
      <c r="AF58" s="619"/>
      <c r="AG58" s="619"/>
      <c r="AH58" s="1268"/>
      <c r="AI58" s="620"/>
      <c r="AJ58" s="1034">
        <f t="shared" si="13"/>
        <v>0</v>
      </c>
      <c r="AK58" s="64"/>
    </row>
    <row r="59" spans="12:37" ht="16.5" customHeight="1" thickBot="1">
      <c r="L59" s="1116">
        <v>7</v>
      </c>
      <c r="M59" s="1118"/>
      <c r="N59" s="588">
        <f t="shared" ref="N59:Q62" si="19">O41</f>
        <v>30</v>
      </c>
      <c r="O59" s="588">
        <f t="shared" si="19"/>
        <v>54380</v>
      </c>
      <c r="P59" s="1263">
        <f t="shared" si="19"/>
        <v>119.25438596491227</v>
      </c>
      <c r="Q59" s="590">
        <f t="shared" si="19"/>
        <v>7.6709999999999994</v>
      </c>
      <c r="R59" s="1021">
        <f t="shared" si="9"/>
        <v>417148.98</v>
      </c>
      <c r="S59" s="601">
        <f t="shared" si="17"/>
        <v>30</v>
      </c>
      <c r="T59" s="588">
        <f t="shared" si="17"/>
        <v>91842</v>
      </c>
      <c r="U59" s="1264">
        <f t="shared" si="17"/>
        <v>116.84732824427481</v>
      </c>
      <c r="V59" s="590">
        <f t="shared" si="17"/>
        <v>5.6160000000000005</v>
      </c>
      <c r="W59" s="1021">
        <f t="shared" si="11"/>
        <v>515784.67200000008</v>
      </c>
      <c r="X59" s="64"/>
      <c r="Y59" s="1116">
        <v>7</v>
      </c>
      <c r="Z59" s="1119"/>
      <c r="AA59" s="619">
        <f t="shared" si="18"/>
        <v>31</v>
      </c>
      <c r="AB59" s="619">
        <f t="shared" si="18"/>
        <v>47181</v>
      </c>
      <c r="AC59" s="1268">
        <f t="shared" si="18"/>
        <v>100.12945670628183</v>
      </c>
      <c r="AD59" s="619">
        <f t="shared" si="18"/>
        <v>7.782</v>
      </c>
      <c r="AE59" s="1033">
        <f t="shared" si="12"/>
        <v>367162.54200000002</v>
      </c>
      <c r="AF59" s="619">
        <f t="shared" ref="AF59:AI60" si="20">AG43</f>
        <v>31</v>
      </c>
      <c r="AG59" s="619">
        <f t="shared" si="20"/>
        <v>81871</v>
      </c>
      <c r="AH59" s="1268">
        <f t="shared" si="20"/>
        <v>104.16157760814249</v>
      </c>
      <c r="AI59" s="620">
        <f t="shared" si="20"/>
        <v>5.7160000000000002</v>
      </c>
      <c r="AJ59" s="1034">
        <f t="shared" si="13"/>
        <v>467974.636</v>
      </c>
      <c r="AK59" s="64"/>
    </row>
    <row r="60" spans="12:37" ht="16.5" customHeight="1" thickBot="1">
      <c r="L60" s="1116">
        <v>8</v>
      </c>
      <c r="M60" s="1118"/>
      <c r="N60" s="599">
        <f t="shared" si="19"/>
        <v>30.9</v>
      </c>
      <c r="O60" s="588">
        <f t="shared" si="19"/>
        <v>55697</v>
      </c>
      <c r="P60" s="1263">
        <f t="shared" si="19"/>
        <v>118.20246179966044</v>
      </c>
      <c r="Q60" s="590">
        <f t="shared" si="19"/>
        <v>7.6689999999999996</v>
      </c>
      <c r="R60" s="1021">
        <f t="shared" si="9"/>
        <v>427140.29300000001</v>
      </c>
      <c r="S60" s="601">
        <f t="shared" si="17"/>
        <v>30.94</v>
      </c>
      <c r="T60" s="588">
        <f t="shared" si="17"/>
        <v>94491</v>
      </c>
      <c r="U60" s="1264">
        <f t="shared" si="17"/>
        <v>116.33957153410491</v>
      </c>
      <c r="V60" s="590">
        <f t="shared" si="17"/>
        <v>5.6340000000000003</v>
      </c>
      <c r="W60" s="1021">
        <f t="shared" si="11"/>
        <v>532362.29399999999</v>
      </c>
      <c r="X60" s="64"/>
      <c r="Y60" s="1116">
        <v>8</v>
      </c>
      <c r="Z60" s="1119"/>
      <c r="AA60" s="619"/>
      <c r="AB60" s="619"/>
      <c r="AC60" s="1270"/>
      <c r="AD60" s="619"/>
      <c r="AE60" s="1033">
        <f t="shared" si="12"/>
        <v>0</v>
      </c>
      <c r="AF60" s="619">
        <f t="shared" si="20"/>
        <v>28</v>
      </c>
      <c r="AG60" s="619">
        <f t="shared" ref="AG60" si="21">AH44</f>
        <v>73375</v>
      </c>
      <c r="AH60" s="1268">
        <f t="shared" ref="AH60" si="22">AI44</f>
        <v>100.02044711014176</v>
      </c>
      <c r="AI60" s="620">
        <f t="shared" ref="AI60" si="23">AJ44</f>
        <v>5.774</v>
      </c>
      <c r="AJ60" s="1034">
        <f t="shared" si="13"/>
        <v>423667.25</v>
      </c>
      <c r="AK60" s="64"/>
    </row>
    <row r="61" spans="12:37" ht="16.5" customHeight="1" thickBot="1">
      <c r="L61" s="1116">
        <v>9</v>
      </c>
      <c r="M61" s="1118"/>
      <c r="N61" s="588">
        <f t="shared" si="19"/>
        <v>31</v>
      </c>
      <c r="O61" s="588">
        <f t="shared" si="19"/>
        <v>55805</v>
      </c>
      <c r="P61" s="1263">
        <f t="shared" si="19"/>
        <v>118.43166383701188</v>
      </c>
      <c r="Q61" s="590">
        <f t="shared" si="19"/>
        <v>7.6839999999999993</v>
      </c>
      <c r="R61" s="1021">
        <f t="shared" si="9"/>
        <v>428805.61999999994</v>
      </c>
      <c r="S61" s="601">
        <f t="shared" si="17"/>
        <v>31</v>
      </c>
      <c r="T61" s="588">
        <f t="shared" si="17"/>
        <v>93530</v>
      </c>
      <c r="U61" s="1264">
        <f t="shared" si="17"/>
        <v>115.15636542723468</v>
      </c>
      <c r="V61" s="590">
        <f t="shared" si="17"/>
        <v>5.6219999999999999</v>
      </c>
      <c r="W61" s="1021">
        <f t="shared" si="11"/>
        <v>525825.66</v>
      </c>
      <c r="X61" s="64"/>
      <c r="Y61" s="1116">
        <v>9</v>
      </c>
      <c r="Z61" s="1120"/>
      <c r="AA61" s="619"/>
      <c r="AB61" s="619"/>
      <c r="AC61" s="1270"/>
      <c r="AD61" s="619"/>
      <c r="AE61" s="1033">
        <f t="shared" si="12"/>
        <v>0</v>
      </c>
      <c r="AF61" s="619"/>
      <c r="AG61" s="619"/>
      <c r="AH61" s="1269"/>
      <c r="AI61" s="620"/>
      <c r="AJ61" s="1034">
        <f t="shared" si="13"/>
        <v>0</v>
      </c>
      <c r="AK61" s="64"/>
    </row>
    <row r="62" spans="12:37" ht="16.5" customHeight="1" thickBot="1">
      <c r="L62" s="1116">
        <v>10</v>
      </c>
      <c r="M62" s="1118"/>
      <c r="N62" s="588">
        <f t="shared" si="19"/>
        <v>28</v>
      </c>
      <c r="O62" s="588">
        <f t="shared" si="19"/>
        <v>47687</v>
      </c>
      <c r="P62" s="1263">
        <f t="shared" si="19"/>
        <v>112.04652255639098</v>
      </c>
      <c r="Q62" s="590">
        <f t="shared" si="19"/>
        <v>7.6989999999999998</v>
      </c>
      <c r="R62" s="1021">
        <f t="shared" si="9"/>
        <v>367142.21299999999</v>
      </c>
      <c r="S62" s="601">
        <f t="shared" si="17"/>
        <v>28</v>
      </c>
      <c r="T62" s="588">
        <f t="shared" si="17"/>
        <v>85228</v>
      </c>
      <c r="U62" s="1264">
        <f t="shared" si="17"/>
        <v>116.17775354416575</v>
      </c>
      <c r="V62" s="590">
        <f t="shared" si="17"/>
        <v>5.6520000000000001</v>
      </c>
      <c r="W62" s="1021">
        <f t="shared" si="11"/>
        <v>481708.65600000002</v>
      </c>
      <c r="X62" s="64"/>
      <c r="Y62" s="1116">
        <v>10</v>
      </c>
      <c r="Z62" s="1120"/>
      <c r="AA62" s="619"/>
      <c r="AB62" s="619"/>
      <c r="AC62" s="1270"/>
      <c r="AD62" s="619"/>
      <c r="AE62" s="1033">
        <f t="shared" si="12"/>
        <v>0</v>
      </c>
      <c r="AF62" s="619"/>
      <c r="AG62" s="619"/>
      <c r="AH62" s="1269"/>
      <c r="AI62" s="620"/>
      <c r="AJ62" s="1034">
        <f t="shared" si="13"/>
        <v>0</v>
      </c>
      <c r="AK62" s="64"/>
    </row>
    <row r="63" spans="12:37" ht="16.5" customHeight="1" thickBot="1">
      <c r="L63" s="1116">
        <v>11</v>
      </c>
      <c r="M63" s="597"/>
      <c r="N63" s="1202"/>
      <c r="O63" s="1202"/>
      <c r="P63" s="1202"/>
      <c r="Q63" s="1202"/>
      <c r="R63" s="1203"/>
      <c r="S63" s="1203"/>
      <c r="T63" s="1203"/>
      <c r="U63" s="1203"/>
      <c r="V63" s="1203"/>
      <c r="W63" s="1203"/>
      <c r="X63" s="64"/>
      <c r="Y63" s="1116">
        <v>11</v>
      </c>
      <c r="Z63" s="1120"/>
      <c r="AA63" s="619"/>
      <c r="AB63" s="619"/>
      <c r="AC63" s="1270"/>
      <c r="AD63" s="619"/>
      <c r="AE63" s="1033">
        <f t="shared" si="12"/>
        <v>0</v>
      </c>
      <c r="AF63" s="619"/>
      <c r="AG63" s="619"/>
      <c r="AH63" s="1269"/>
      <c r="AI63" s="620"/>
      <c r="AJ63" s="1034">
        <f t="shared" si="13"/>
        <v>0</v>
      </c>
      <c r="AK63" s="64"/>
    </row>
    <row r="64" spans="12:37" ht="16.5" customHeight="1" thickBot="1">
      <c r="L64" s="1116">
        <v>12</v>
      </c>
      <c r="M64" s="597" t="s">
        <v>24</v>
      </c>
      <c r="N64" s="1202"/>
      <c r="O64" s="1202"/>
      <c r="P64" s="1202"/>
      <c r="Q64" s="1202"/>
      <c r="R64" s="1203"/>
      <c r="S64" s="1203"/>
      <c r="T64" s="1203"/>
      <c r="U64" s="1203"/>
      <c r="V64" s="1203"/>
      <c r="W64" s="1203"/>
      <c r="X64" s="64"/>
      <c r="Y64" s="1116">
        <v>12</v>
      </c>
      <c r="Z64" s="1120" t="s">
        <v>24</v>
      </c>
      <c r="AA64" s="619"/>
      <c r="AB64" s="619"/>
      <c r="AC64" s="1270"/>
      <c r="AD64" s="619"/>
      <c r="AE64" s="1033">
        <f t="shared" si="12"/>
        <v>0</v>
      </c>
      <c r="AF64" s="619"/>
      <c r="AG64" s="619"/>
      <c r="AH64" s="1269"/>
      <c r="AI64" s="620"/>
      <c r="AJ64" s="1034">
        <f t="shared" si="13"/>
        <v>0</v>
      </c>
      <c r="AK64" s="64"/>
    </row>
    <row r="65" spans="2:37" ht="16.5" thickBot="1">
      <c r="L65" s="1022"/>
      <c r="M65" s="1023" t="s">
        <v>34</v>
      </c>
      <c r="N65" s="1023"/>
      <c r="O65" s="1024">
        <f>SUM(O53:O64)</f>
        <v>524427</v>
      </c>
      <c r="P65" s="1023"/>
      <c r="Q65" s="1023"/>
      <c r="R65" s="1026">
        <f>SUM(R53:R64)</f>
        <v>4066851.19</v>
      </c>
      <c r="S65" s="1025"/>
      <c r="T65" s="1024">
        <f>SUM(T53:T64)</f>
        <v>896236</v>
      </c>
      <c r="U65" s="1023"/>
      <c r="V65" s="1023"/>
      <c r="W65" s="1026">
        <f>SUM(W53:W64)</f>
        <v>5112997.881000001</v>
      </c>
      <c r="X65" s="64"/>
      <c r="Y65" s="1022"/>
      <c r="Z65" s="1023" t="s">
        <v>34</v>
      </c>
      <c r="AA65" s="1023"/>
      <c r="AB65" s="1024">
        <f>SUM(AB53:AB64)</f>
        <v>283632</v>
      </c>
      <c r="AC65" s="1023"/>
      <c r="AD65" s="1023"/>
      <c r="AE65" s="1035">
        <f>SUM(AE53:AE64)</f>
        <v>2217706.7009999999</v>
      </c>
      <c r="AF65" s="1036"/>
      <c r="AG65" s="1024">
        <f>SUM(AG53:AG64)</f>
        <v>478726</v>
      </c>
      <c r="AH65" s="1023"/>
      <c r="AI65" s="1023"/>
      <c r="AJ65" s="1026">
        <f>SUM(AJ53:AJ64)</f>
        <v>2738326.7829999998</v>
      </c>
      <c r="AK65" s="64"/>
    </row>
    <row r="66" spans="2:37" ht="32.25" thickBot="1">
      <c r="L66" s="1022"/>
      <c r="M66" s="1023" t="s">
        <v>35</v>
      </c>
      <c r="N66" s="1023"/>
      <c r="O66" s="1023"/>
      <c r="P66" s="1023"/>
      <c r="Q66" s="1027">
        <f>R65/O65</f>
        <v>7.7548470807185748</v>
      </c>
      <c r="R66" s="1023"/>
      <c r="S66" s="1023"/>
      <c r="T66" s="1023"/>
      <c r="U66" s="1023"/>
      <c r="V66" s="1027">
        <f>W65/T65</f>
        <v>5.704968201455868</v>
      </c>
      <c r="W66" s="1023"/>
      <c r="X66" s="64"/>
      <c r="Y66" s="1022"/>
      <c r="Z66" s="1023" t="s">
        <v>35</v>
      </c>
      <c r="AA66" s="1023"/>
      <c r="AB66" s="1023"/>
      <c r="AC66" s="1023"/>
      <c r="AD66" s="1027">
        <f>AE65/AB65</f>
        <v>7.8189580195464545</v>
      </c>
      <c r="AE66" s="1023"/>
      <c r="AF66" s="1023"/>
      <c r="AG66" s="1023"/>
      <c r="AH66" s="1023"/>
      <c r="AI66" s="1027">
        <f>AJ65/AG65</f>
        <v>5.7200293758851615</v>
      </c>
      <c r="AJ66" s="1023"/>
      <c r="AK66" s="64"/>
    </row>
    <row r="67" spans="2:37" ht="15.75">
      <c r="L67" s="1028"/>
      <c r="M67" s="905"/>
      <c r="N67" s="905"/>
      <c r="O67" s="905"/>
      <c r="P67" s="905"/>
      <c r="Q67" s="905"/>
      <c r="R67" s="905"/>
      <c r="S67" s="905"/>
      <c r="T67" s="905"/>
      <c r="U67" s="1029"/>
      <c r="V67" s="905"/>
      <c r="W67" s="1029"/>
      <c r="X67" s="64"/>
      <c r="Y67" s="1028"/>
      <c r="Z67" s="905"/>
      <c r="AA67" s="905"/>
      <c r="AB67" s="905"/>
      <c r="AC67" s="905"/>
      <c r="AD67" s="905"/>
      <c r="AE67" s="905"/>
      <c r="AF67" s="905"/>
      <c r="AG67" s="905"/>
      <c r="AH67" s="1029"/>
      <c r="AI67" s="905"/>
      <c r="AJ67" s="1029"/>
      <c r="AK67" s="64"/>
    </row>
    <row r="68" spans="2:37" ht="15.75">
      <c r="L68" s="194"/>
      <c r="M68" s="907" t="s">
        <v>26</v>
      </c>
      <c r="N68" s="907"/>
      <c r="O68" s="64"/>
      <c r="P68" s="64"/>
      <c r="Q68" s="64"/>
      <c r="R68" s="64"/>
      <c r="S68" s="64"/>
      <c r="T68" s="64"/>
      <c r="U68" s="64"/>
      <c r="V68" s="64"/>
      <c r="W68" s="64"/>
      <c r="X68" s="64"/>
      <c r="Y68" s="64"/>
      <c r="Z68" s="64"/>
      <c r="AA68" s="64"/>
      <c r="AB68" s="64"/>
      <c r="AC68" s="64"/>
      <c r="AD68" s="64"/>
      <c r="AE68" s="64"/>
      <c r="AF68" s="64"/>
      <c r="AG68" s="64"/>
      <c r="AH68" s="64"/>
      <c r="AI68" s="64"/>
      <c r="AJ68" s="64"/>
      <c r="AK68" s="64"/>
    </row>
    <row r="69" spans="2:37" ht="15.75">
      <c r="L69" s="194"/>
      <c r="M69" s="907" t="s">
        <v>27</v>
      </c>
      <c r="N69" s="907"/>
      <c r="O69" s="907" t="s">
        <v>28</v>
      </c>
      <c r="P69" s="64"/>
      <c r="Q69" s="64"/>
      <c r="R69" s="64"/>
      <c r="S69" s="64"/>
      <c r="T69" s="64"/>
      <c r="U69" s="64"/>
      <c r="V69" s="64"/>
      <c r="W69" s="64"/>
      <c r="X69" s="64"/>
      <c r="Y69" s="64"/>
      <c r="Z69" s="64"/>
      <c r="AA69" s="64"/>
      <c r="AB69" s="64"/>
      <c r="AC69" s="64"/>
      <c r="AD69" s="64"/>
      <c r="AE69" s="64"/>
      <c r="AF69" s="64"/>
      <c r="AG69" s="64"/>
      <c r="AH69" s="64"/>
      <c r="AI69" s="64"/>
      <c r="AJ69" s="64"/>
      <c r="AK69" s="64"/>
    </row>
    <row r="70" spans="2:37" ht="15.75">
      <c r="L70" s="194"/>
      <c r="M70" s="907" t="s">
        <v>29</v>
      </c>
      <c r="N70" s="907"/>
      <c r="O70" s="907" t="s">
        <v>30</v>
      </c>
      <c r="P70" s="64"/>
      <c r="Q70" s="64"/>
      <c r="R70" s="64"/>
      <c r="S70" s="64"/>
      <c r="T70" s="64"/>
      <c r="U70" s="64"/>
      <c r="V70" s="64"/>
      <c r="W70" s="64"/>
      <c r="X70" s="64"/>
      <c r="Y70" s="64"/>
      <c r="Z70" s="64"/>
      <c r="AA70" s="64"/>
      <c r="AB70" s="64"/>
      <c r="AC70" s="64"/>
      <c r="AD70" s="64"/>
      <c r="AE70" s="64"/>
      <c r="AF70" s="64"/>
      <c r="AG70" s="64"/>
      <c r="AH70" s="64"/>
      <c r="AI70" s="64"/>
      <c r="AJ70" s="64"/>
      <c r="AK70" s="64"/>
    </row>
    <row r="71" spans="2:37" ht="15.75">
      <c r="L71" s="194"/>
      <c r="M71" s="907" t="s">
        <v>207</v>
      </c>
      <c r="N71" s="907"/>
      <c r="O71" s="907" t="s">
        <v>880</v>
      </c>
      <c r="P71" s="64"/>
      <c r="Q71" s="64"/>
      <c r="R71" s="64"/>
      <c r="S71" s="64"/>
      <c r="T71" s="64"/>
      <c r="U71" s="64"/>
      <c r="V71" s="64"/>
      <c r="W71" s="64"/>
      <c r="X71" s="64"/>
      <c r="Y71" s="64"/>
      <c r="Z71" s="64"/>
      <c r="AA71" s="64"/>
      <c r="AB71" s="64"/>
      <c r="AC71" s="64"/>
      <c r="AD71" s="64"/>
      <c r="AE71" s="64"/>
      <c r="AF71" s="64"/>
      <c r="AG71" s="64"/>
      <c r="AH71" s="64"/>
      <c r="AI71" s="64"/>
      <c r="AJ71" s="64"/>
      <c r="AK71" s="64"/>
    </row>
    <row r="72" spans="2:37">
      <c r="X72" s="64"/>
      <c r="Y72" s="64"/>
      <c r="Z72" s="64"/>
      <c r="AA72" s="64"/>
      <c r="AB72" s="64"/>
      <c r="AC72" s="64"/>
      <c r="AD72" s="64"/>
      <c r="AE72" s="64"/>
      <c r="AF72" s="64"/>
      <c r="AG72" s="64"/>
      <c r="AH72" s="64"/>
      <c r="AI72" s="64"/>
      <c r="AJ72" s="64"/>
      <c r="AK72" s="64"/>
    </row>
    <row r="73" spans="2:37">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row>
    <row r="74" spans="2:37" s="568" customFormat="1" ht="18.75">
      <c r="B74" s="585"/>
      <c r="D74" s="585"/>
      <c r="J74" s="585"/>
      <c r="L74" s="997" t="s">
        <v>77</v>
      </c>
      <c r="M74" s="997" t="s">
        <v>961</v>
      </c>
      <c r="N74" s="997"/>
      <c r="O74" s="965"/>
      <c r="P74" s="965"/>
      <c r="Q74" s="965"/>
      <c r="R74" s="965"/>
      <c r="S74" s="965"/>
      <c r="T74" s="965"/>
      <c r="U74" s="965"/>
      <c r="V74" s="965"/>
      <c r="W74" s="965"/>
      <c r="X74" s="965"/>
      <c r="Y74" s="997" t="s">
        <v>81</v>
      </c>
      <c r="Z74" s="997" t="s">
        <v>965</v>
      </c>
      <c r="AA74" s="965"/>
      <c r="AB74" s="965"/>
      <c r="AC74" s="965"/>
      <c r="AD74" s="965"/>
      <c r="AE74" s="965"/>
      <c r="AF74" s="965"/>
      <c r="AG74" s="965"/>
      <c r="AH74" s="965"/>
      <c r="AI74" s="965"/>
      <c r="AJ74" s="965"/>
      <c r="AK74" s="965"/>
    </row>
    <row r="75" spans="2:37" ht="19.5" thickBot="1">
      <c r="L75" s="1030"/>
      <c r="M75" s="998"/>
      <c r="N75" s="999"/>
      <c r="O75" s="1000" t="s">
        <v>93</v>
      </c>
      <c r="P75" s="1001"/>
      <c r="Q75" s="1002" t="s">
        <v>2</v>
      </c>
      <c r="R75" s="586">
        <v>1520</v>
      </c>
      <c r="S75" s="1003"/>
      <c r="T75" s="1002"/>
      <c r="U75" s="1000" t="s">
        <v>3</v>
      </c>
      <c r="V75" s="587">
        <v>2620</v>
      </c>
      <c r="W75" s="965"/>
      <c r="X75" s="64"/>
      <c r="Y75" s="1030"/>
      <c r="Z75" s="998"/>
      <c r="AA75" s="999"/>
      <c r="AB75" s="1000" t="s">
        <v>93</v>
      </c>
      <c r="AC75" s="1001"/>
      <c r="AD75" s="1002" t="s">
        <v>2</v>
      </c>
      <c r="AE75" s="586">
        <v>1520</v>
      </c>
      <c r="AF75" s="1003"/>
      <c r="AG75" s="1002"/>
      <c r="AH75" s="1000" t="s">
        <v>3</v>
      </c>
      <c r="AI75" s="587">
        <v>2620</v>
      </c>
      <c r="AJ75" s="965"/>
      <c r="AK75" s="64"/>
    </row>
    <row r="76" spans="2:37" ht="16.5" customHeight="1" thickBot="1">
      <c r="L76" s="1004" t="s">
        <v>0</v>
      </c>
      <c r="M76" s="1005" t="s">
        <v>1</v>
      </c>
      <c r="N76" s="1394" t="s">
        <v>2</v>
      </c>
      <c r="O76" s="1395"/>
      <c r="P76" s="1395"/>
      <c r="Q76" s="1395"/>
      <c r="R76" s="1396"/>
      <c r="S76" s="1397" t="s">
        <v>3</v>
      </c>
      <c r="T76" s="1398"/>
      <c r="U76" s="1398"/>
      <c r="V76" s="1398"/>
      <c r="W76" s="1399"/>
      <c r="X76" s="64"/>
      <c r="Y76" s="1004" t="s">
        <v>0</v>
      </c>
      <c r="Z76" s="1005" t="s">
        <v>1</v>
      </c>
      <c r="AA76" s="1394" t="s">
        <v>2</v>
      </c>
      <c r="AB76" s="1395"/>
      <c r="AC76" s="1395"/>
      <c r="AD76" s="1395"/>
      <c r="AE76" s="1396"/>
      <c r="AF76" s="1397" t="s">
        <v>3</v>
      </c>
      <c r="AG76" s="1398"/>
      <c r="AH76" s="1398"/>
      <c r="AI76" s="1398"/>
      <c r="AJ76" s="1399"/>
      <c r="AK76" s="64"/>
    </row>
    <row r="77" spans="2:37" ht="15.75" customHeight="1">
      <c r="L77" s="1392"/>
      <c r="M77" s="1392"/>
      <c r="N77" s="1006" t="s">
        <v>94</v>
      </c>
      <c r="O77" s="1006" t="s">
        <v>4</v>
      </c>
      <c r="P77" s="1392" t="s">
        <v>6</v>
      </c>
      <c r="Q77" s="1392" t="s">
        <v>7</v>
      </c>
      <c r="R77" s="1392" t="s">
        <v>8</v>
      </c>
      <c r="S77" s="1007" t="s">
        <v>94</v>
      </c>
      <c r="T77" s="1006" t="s">
        <v>4</v>
      </c>
      <c r="U77" s="1392" t="s">
        <v>6</v>
      </c>
      <c r="V77" s="1392" t="s">
        <v>7</v>
      </c>
      <c r="W77" s="1392" t="s">
        <v>8</v>
      </c>
      <c r="X77" s="64"/>
      <c r="Y77" s="1392"/>
      <c r="Z77" s="1392"/>
      <c r="AA77" s="1006" t="s">
        <v>94</v>
      </c>
      <c r="AB77" s="1006" t="s">
        <v>4</v>
      </c>
      <c r="AC77" s="1392" t="s">
        <v>6</v>
      </c>
      <c r="AD77" s="1392" t="s">
        <v>7</v>
      </c>
      <c r="AE77" s="1392" t="s">
        <v>8</v>
      </c>
      <c r="AF77" s="1007" t="s">
        <v>94</v>
      </c>
      <c r="AG77" s="1006" t="s">
        <v>4</v>
      </c>
      <c r="AH77" s="1392" t="s">
        <v>6</v>
      </c>
      <c r="AI77" s="1392" t="s">
        <v>7</v>
      </c>
      <c r="AJ77" s="1392" t="s">
        <v>8</v>
      </c>
      <c r="AK77" s="64"/>
    </row>
    <row r="78" spans="2:37" ht="16.5" thickBot="1">
      <c r="L78" s="1393"/>
      <c r="M78" s="1393"/>
      <c r="N78" s="1005" t="s">
        <v>95</v>
      </c>
      <c r="O78" s="1005" t="s">
        <v>5</v>
      </c>
      <c r="P78" s="1393"/>
      <c r="Q78" s="1393"/>
      <c r="R78" s="1393"/>
      <c r="S78" s="1008" t="s">
        <v>95</v>
      </c>
      <c r="T78" s="1005" t="s">
        <v>5</v>
      </c>
      <c r="U78" s="1393"/>
      <c r="V78" s="1393"/>
      <c r="W78" s="1393"/>
      <c r="X78" s="64"/>
      <c r="Y78" s="1393"/>
      <c r="Z78" s="1393"/>
      <c r="AA78" s="1005" t="s">
        <v>95</v>
      </c>
      <c r="AB78" s="1005" t="s">
        <v>5</v>
      </c>
      <c r="AC78" s="1393"/>
      <c r="AD78" s="1393"/>
      <c r="AE78" s="1393"/>
      <c r="AF78" s="1008" t="s">
        <v>95</v>
      </c>
      <c r="AG78" s="1005" t="s">
        <v>5</v>
      </c>
      <c r="AH78" s="1393"/>
      <c r="AI78" s="1393"/>
      <c r="AJ78" s="1393"/>
      <c r="AK78" s="64"/>
    </row>
    <row r="79" spans="2:37" ht="16.5" thickBot="1">
      <c r="L79" s="1009"/>
      <c r="M79" s="1010"/>
      <c r="N79" s="1010" t="s">
        <v>10</v>
      </c>
      <c r="O79" s="1010" t="s">
        <v>9</v>
      </c>
      <c r="P79" s="1010" t="s">
        <v>10</v>
      </c>
      <c r="Q79" s="1010" t="s">
        <v>11</v>
      </c>
      <c r="R79" s="1010" t="s">
        <v>12</v>
      </c>
      <c r="S79" s="1010" t="s">
        <v>10</v>
      </c>
      <c r="T79" s="1010" t="s">
        <v>9</v>
      </c>
      <c r="U79" s="1010" t="s">
        <v>10</v>
      </c>
      <c r="V79" s="1010" t="s">
        <v>11</v>
      </c>
      <c r="W79" s="1010" t="s">
        <v>12</v>
      </c>
      <c r="X79" s="64"/>
      <c r="Y79" s="1009"/>
      <c r="Z79" s="1010"/>
      <c r="AA79" s="1010" t="s">
        <v>10</v>
      </c>
      <c r="AB79" s="1010" t="s">
        <v>9</v>
      </c>
      <c r="AC79" s="1010" t="s">
        <v>10</v>
      </c>
      <c r="AD79" s="1010" t="s">
        <v>11</v>
      </c>
      <c r="AE79" s="1010" t="s">
        <v>12</v>
      </c>
      <c r="AF79" s="1010" t="s">
        <v>10</v>
      </c>
      <c r="AG79" s="1010" t="s">
        <v>9</v>
      </c>
      <c r="AH79" s="1010" t="s">
        <v>10</v>
      </c>
      <c r="AI79" s="1010" t="s">
        <v>11</v>
      </c>
      <c r="AJ79" s="1010" t="s">
        <v>12</v>
      </c>
      <c r="AK79" s="64"/>
    </row>
    <row r="80" spans="2:37" ht="16.5" thickBot="1">
      <c r="L80" s="1011">
        <v>1</v>
      </c>
      <c r="M80" s="104" t="s">
        <v>13</v>
      </c>
      <c r="N80" s="588">
        <f>30*$R$75</f>
        <v>45600</v>
      </c>
      <c r="O80" s="601">
        <f>'[9]On-stream days'!$B$6</f>
        <v>29.81</v>
      </c>
      <c r="P80" s="588">
        <f>[10]A!$C$302</f>
        <v>50473</v>
      </c>
      <c r="Q80" s="1295">
        <f>(P80/N80)*100</f>
        <v>110.68640350877192</v>
      </c>
      <c r="R80" s="588">
        <f>[11]VP!$D$45</f>
        <v>7.7849999999999993</v>
      </c>
      <c r="S80" s="588">
        <f>30*$V$75</f>
        <v>78600</v>
      </c>
      <c r="T80" s="601">
        <f>'[9]On-stream days'!$B$31</f>
        <v>29.68</v>
      </c>
      <c r="U80" s="588">
        <f>[10]A!$C$328</f>
        <v>86537</v>
      </c>
      <c r="V80" s="1295">
        <f>(U80/S80)*100</f>
        <v>110.09796437659034</v>
      </c>
      <c r="W80" s="590">
        <v>5.7860000000000005</v>
      </c>
      <c r="X80" s="64"/>
      <c r="Y80" s="1011">
        <v>1</v>
      </c>
      <c r="Z80" s="104" t="s">
        <v>13</v>
      </c>
      <c r="AA80" s="588">
        <f>30*$AE$75</f>
        <v>45600</v>
      </c>
      <c r="AB80" s="588">
        <f>'[12]On-stream days'!$B$6</f>
        <v>30</v>
      </c>
      <c r="AC80" s="588">
        <f>[13]A!$C$285</f>
        <v>45401</v>
      </c>
      <c r="AD80" s="1289">
        <f t="shared" ref="AD80:AD91" si="24">AC80*100/AA80</f>
        <v>99.563596491228068</v>
      </c>
      <c r="AE80" s="588">
        <f>[14]VP!$D$45</f>
        <v>7.8090000000000011</v>
      </c>
      <c r="AF80" s="588">
        <f>30*$AI$75</f>
        <v>78600</v>
      </c>
      <c r="AG80" s="601">
        <f>'[12]On-stream days'!$B$31</f>
        <v>29.81</v>
      </c>
      <c r="AH80" s="588">
        <f>[13]A!$C$310</f>
        <v>79257</v>
      </c>
      <c r="AI80" s="1289">
        <f t="shared" ref="AI80:AI91" si="25">AH80*100/AF80</f>
        <v>100.83587786259542</v>
      </c>
      <c r="AJ80" s="590">
        <v>5.7539999999999996</v>
      </c>
      <c r="AK80" s="64"/>
    </row>
    <row r="81" spans="12:37" ht="16.5" thickBot="1">
      <c r="L81" s="1011">
        <v>2</v>
      </c>
      <c r="M81" s="104" t="s">
        <v>14</v>
      </c>
      <c r="N81" s="588">
        <f>31*$R$75</f>
        <v>47120</v>
      </c>
      <c r="O81" s="601">
        <f>'[9]On-stream days'!$C$6</f>
        <v>11.649999999999999</v>
      </c>
      <c r="P81" s="588">
        <f>[10]A!$D$302</f>
        <v>18921</v>
      </c>
      <c r="Q81" s="1295">
        <f t="shared" ref="Q81:Q91" si="26">(P81/N81)*100</f>
        <v>40.154923599320888</v>
      </c>
      <c r="R81" s="588">
        <f>[11]VP!$E$45</f>
        <v>9.7960000000000012</v>
      </c>
      <c r="S81" s="588">
        <f>31*$V$75</f>
        <v>81220</v>
      </c>
      <c r="T81" s="601">
        <f>'[9]On-stream days'!$C$31</f>
        <v>13.420000000000002</v>
      </c>
      <c r="U81" s="588">
        <f>[10]A!$D$328</f>
        <v>37240</v>
      </c>
      <c r="V81" s="1295">
        <f t="shared" ref="V81:V91" si="27">(U81/S81)*100</f>
        <v>45.85077567101699</v>
      </c>
      <c r="W81" s="590">
        <v>7.1509999999999998</v>
      </c>
      <c r="X81" s="64"/>
      <c r="Y81" s="1011">
        <v>2</v>
      </c>
      <c r="Z81" s="104" t="s">
        <v>14</v>
      </c>
      <c r="AA81" s="588">
        <f>31*$AE$75</f>
        <v>47120</v>
      </c>
      <c r="AB81" s="601">
        <f>'[12]On-stream days'!$C$6</f>
        <v>11.260000000000002</v>
      </c>
      <c r="AC81" s="588">
        <f>[13]A!$D$285</f>
        <v>15131</v>
      </c>
      <c r="AD81" s="1289">
        <f t="shared" si="24"/>
        <v>32.111629881154499</v>
      </c>
      <c r="AE81" s="588">
        <f>[14]VP!$E$45</f>
        <v>9.2460000000000004</v>
      </c>
      <c r="AF81" s="588">
        <f>31*$AI$75</f>
        <v>81220</v>
      </c>
      <c r="AG81" s="601">
        <f>'[12]On-stream days'!$C$31</f>
        <v>9.66</v>
      </c>
      <c r="AH81" s="588">
        <f>[13]A!$D$310</f>
        <v>24810</v>
      </c>
      <c r="AI81" s="1289">
        <f t="shared" si="25"/>
        <v>30.546663383403104</v>
      </c>
      <c r="AJ81" s="590">
        <v>7.093</v>
      </c>
      <c r="AK81" s="64"/>
    </row>
    <row r="82" spans="12:37" ht="16.5" thickBot="1">
      <c r="L82" s="1011">
        <v>3</v>
      </c>
      <c r="M82" s="104" t="s">
        <v>15</v>
      </c>
      <c r="N82" s="588">
        <f t="shared" ref="N82:N91" si="28">30*$R$75</f>
        <v>45600</v>
      </c>
      <c r="O82" s="601">
        <f>'[9]On-stream days'!$D$6</f>
        <v>28.54</v>
      </c>
      <c r="P82" s="588">
        <f>[10]A!$E$302</f>
        <v>47256</v>
      </c>
      <c r="Q82" s="1295">
        <f t="shared" si="26"/>
        <v>103.63157894736842</v>
      </c>
      <c r="R82" s="588">
        <f>[11]VP!$F$45</f>
        <v>8.0259999999999998</v>
      </c>
      <c r="S82" s="588">
        <f>30*$V$75</f>
        <v>78600</v>
      </c>
      <c r="T82" s="601">
        <f>'[9]On-stream days'!$D$31</f>
        <v>28.01</v>
      </c>
      <c r="U82" s="588">
        <f>[10]A!$E$328</f>
        <v>82637</v>
      </c>
      <c r="V82" s="1295">
        <f t="shared" si="27"/>
        <v>105.13613231552164</v>
      </c>
      <c r="W82" s="590">
        <v>5.9669999999999996</v>
      </c>
      <c r="X82" s="64"/>
      <c r="Y82" s="1011">
        <v>3</v>
      </c>
      <c r="Z82" s="104" t="s">
        <v>15</v>
      </c>
      <c r="AA82" s="588">
        <f>30*$AE$75</f>
        <v>45600</v>
      </c>
      <c r="AB82" s="588">
        <f>'[12]On-stream days'!$D$6</f>
        <v>30</v>
      </c>
      <c r="AC82" s="588">
        <f>[13]A!$E$285</f>
        <v>41257</v>
      </c>
      <c r="AD82" s="1289">
        <f t="shared" si="24"/>
        <v>90.475877192982452</v>
      </c>
      <c r="AE82" s="588">
        <f>[14]VP!$F$45</f>
        <v>8.1579999999999995</v>
      </c>
      <c r="AF82" s="588">
        <f>30*$AI$75</f>
        <v>78600</v>
      </c>
      <c r="AG82" s="601">
        <f>'[12]On-stream days'!$D$31</f>
        <v>27.33</v>
      </c>
      <c r="AH82" s="588">
        <f>[13]A!$E$310</f>
        <v>70870</v>
      </c>
      <c r="AI82" s="1289">
        <f t="shared" si="25"/>
        <v>90.165394402035616</v>
      </c>
      <c r="AJ82" s="590">
        <v>5.9589999999999996</v>
      </c>
      <c r="AK82" s="64"/>
    </row>
    <row r="83" spans="12:37" ht="16.5" thickBot="1">
      <c r="L83" s="1011">
        <v>4</v>
      </c>
      <c r="M83" s="104" t="s">
        <v>16</v>
      </c>
      <c r="N83" s="588">
        <f>31*$R$75</f>
        <v>47120</v>
      </c>
      <c r="O83" s="601">
        <f>'[9]On-stream days'!$F$6</f>
        <v>30.79</v>
      </c>
      <c r="P83" s="588">
        <f>[10]A!$F$302</f>
        <v>52465</v>
      </c>
      <c r="Q83" s="1295">
        <f t="shared" si="26"/>
        <v>111.34337860780985</v>
      </c>
      <c r="R83" s="590">
        <f>[11]VP!$H$45</f>
        <v>7.99</v>
      </c>
      <c r="S83" s="588">
        <f>31*$V$75</f>
        <v>81220</v>
      </c>
      <c r="T83" s="601">
        <f>'[9]On-stream days'!$F$31</f>
        <v>30.225000000000001</v>
      </c>
      <c r="U83" s="588">
        <f>[10]A!$F$328</f>
        <v>90316</v>
      </c>
      <c r="V83" s="1295">
        <f t="shared" si="27"/>
        <v>111.19921201674465</v>
      </c>
      <c r="W83" s="590">
        <v>5.9080000000000013</v>
      </c>
      <c r="X83" s="64"/>
      <c r="Y83" s="1011">
        <v>4</v>
      </c>
      <c r="Z83" s="104" t="s">
        <v>16</v>
      </c>
      <c r="AA83" s="588">
        <f>31*$AE$75</f>
        <v>47120</v>
      </c>
      <c r="AB83" s="601">
        <f>'[12]On-stream days'!$F$6</f>
        <v>28.79</v>
      </c>
      <c r="AC83" s="588">
        <f>[13]A!$F$285</f>
        <v>38799</v>
      </c>
      <c r="AD83" s="1289">
        <f t="shared" si="24"/>
        <v>82.340831918505941</v>
      </c>
      <c r="AE83" s="588">
        <f>[14]VP!$H$45</f>
        <v>8.2340000000000018</v>
      </c>
      <c r="AF83" s="588">
        <f>31*$AI$75</f>
        <v>81220</v>
      </c>
      <c r="AG83" s="601">
        <f>'[12]On-stream days'!$F$31</f>
        <v>27.286999999999999</v>
      </c>
      <c r="AH83" s="588">
        <f>[13]A!$F$310</f>
        <v>69244</v>
      </c>
      <c r="AI83" s="1289">
        <f t="shared" si="25"/>
        <v>85.254863334154152</v>
      </c>
      <c r="AJ83" s="590">
        <v>6.0810000000000004</v>
      </c>
      <c r="AK83" s="64"/>
    </row>
    <row r="84" spans="12:37" ht="16.5" thickBot="1">
      <c r="L84" s="1011">
        <v>5</v>
      </c>
      <c r="M84" s="104" t="s">
        <v>17</v>
      </c>
      <c r="N84" s="588">
        <f>31*$R$75</f>
        <v>47120</v>
      </c>
      <c r="O84" s="601">
        <f>'[9]On-stream days'!$G$6</f>
        <v>31</v>
      </c>
      <c r="P84" s="588">
        <f>[10]A!$G$302</f>
        <v>53969</v>
      </c>
      <c r="Q84" s="1295">
        <f t="shared" si="26"/>
        <v>114.53522920203736</v>
      </c>
      <c r="R84" s="590">
        <f>[11]VP!$I$45</f>
        <v>7.81</v>
      </c>
      <c r="S84" s="588">
        <f>31*$V$75</f>
        <v>81220</v>
      </c>
      <c r="T84" s="601">
        <f>'[9]On-stream days'!$G$31</f>
        <v>30.9</v>
      </c>
      <c r="U84" s="588">
        <f>[10]A!$G$328</f>
        <v>93914</v>
      </c>
      <c r="V84" s="1295">
        <f t="shared" si="27"/>
        <v>115.62915538044815</v>
      </c>
      <c r="W84" s="590">
        <v>5.798</v>
      </c>
      <c r="X84" s="64"/>
      <c r="Y84" s="1011">
        <v>5</v>
      </c>
      <c r="Z84" s="104" t="s">
        <v>17</v>
      </c>
      <c r="AA84" s="588">
        <f t="shared" ref="AA84:AA91" si="29">31*$AE$75</f>
        <v>47120</v>
      </c>
      <c r="AB84" s="588">
        <f>'[12]On-stream days'!$G$6</f>
        <v>31</v>
      </c>
      <c r="AC84" s="588">
        <f>[13]A!$G$285</f>
        <v>44219</v>
      </c>
      <c r="AD84" s="1289">
        <f t="shared" si="24"/>
        <v>93.843378607809854</v>
      </c>
      <c r="AE84" s="588">
        <f>[14]VP!$I$45</f>
        <v>7.9870000000000001</v>
      </c>
      <c r="AF84" s="588">
        <f>31*$AI$75</f>
        <v>81220</v>
      </c>
      <c r="AG84" s="601">
        <f>'[12]On-stream days'!$G$31</f>
        <v>31</v>
      </c>
      <c r="AH84" s="588">
        <f>[13]A!$G$310</f>
        <v>76990</v>
      </c>
      <c r="AI84" s="1289">
        <f t="shared" si="25"/>
        <v>94.791923171632604</v>
      </c>
      <c r="AJ84" s="590">
        <v>5.899</v>
      </c>
      <c r="AK84" s="64"/>
    </row>
    <row r="85" spans="12:37" ht="16.5" thickBot="1">
      <c r="L85" s="1011">
        <v>6</v>
      </c>
      <c r="M85" s="104" t="s">
        <v>18</v>
      </c>
      <c r="N85" s="588">
        <f t="shared" si="28"/>
        <v>45600</v>
      </c>
      <c r="O85" s="601">
        <f>'[9]On-stream days'!$H$6</f>
        <v>30</v>
      </c>
      <c r="P85" s="588">
        <f>[10]A!$H$302</f>
        <v>52032</v>
      </c>
      <c r="Q85" s="1295">
        <f t="shared" si="26"/>
        <v>114.10526315789473</v>
      </c>
      <c r="R85" s="588">
        <f>[11]VP!$J$45</f>
        <v>7.6760000000000002</v>
      </c>
      <c r="S85" s="588">
        <f>30*$V$75</f>
        <v>78600</v>
      </c>
      <c r="T85" s="601">
        <f>'[9]On-stream days'!$H$31</f>
        <v>30</v>
      </c>
      <c r="U85" s="588">
        <f>[10]A!$H$328</f>
        <v>90800</v>
      </c>
      <c r="V85" s="1295">
        <f t="shared" si="27"/>
        <v>115.52162849872774</v>
      </c>
      <c r="W85" s="590">
        <v>5.6639999999999997</v>
      </c>
      <c r="X85" s="64"/>
      <c r="Y85" s="1011">
        <v>6</v>
      </c>
      <c r="Z85" s="104" t="s">
        <v>18</v>
      </c>
      <c r="AA85" s="588">
        <f>30*$AE$75</f>
        <v>45600</v>
      </c>
      <c r="AB85" s="601">
        <f>'[12]On-stream days'!$H$6</f>
        <v>27.82</v>
      </c>
      <c r="AC85" s="588">
        <f>[13]A!$H$285</f>
        <v>40332</v>
      </c>
      <c r="AD85" s="1289">
        <f t="shared" si="24"/>
        <v>88.44736842105263</v>
      </c>
      <c r="AE85" s="588">
        <f>[14]VP!$J$45</f>
        <v>8.0749999999999993</v>
      </c>
      <c r="AF85" s="588">
        <f>30*$AI$75</f>
        <v>78600</v>
      </c>
      <c r="AG85" s="601">
        <f>'[12]On-stream days'!$H$31</f>
        <v>27.759999999999998</v>
      </c>
      <c r="AH85" s="588">
        <f>[13]A!$H$310</f>
        <v>70898</v>
      </c>
      <c r="AI85" s="1289">
        <f t="shared" si="25"/>
        <v>90.20101781170483</v>
      </c>
      <c r="AJ85" s="590">
        <v>5.9240000000000004</v>
      </c>
      <c r="AK85" s="64"/>
    </row>
    <row r="86" spans="12:37" ht="16.5" thickBot="1">
      <c r="L86" s="1011">
        <v>7</v>
      </c>
      <c r="M86" s="104" t="s">
        <v>19</v>
      </c>
      <c r="N86" s="588">
        <f>31*$R$75</f>
        <v>47120</v>
      </c>
      <c r="O86" s="601">
        <f>'[9]On-stream days'!$J$6</f>
        <v>31</v>
      </c>
      <c r="P86" s="588">
        <f>[10]A!$I$302</f>
        <v>54240</v>
      </c>
      <c r="Q86" s="1295">
        <f t="shared" si="26"/>
        <v>115.11035653650255</v>
      </c>
      <c r="R86" s="588">
        <f>[11]VP!$M$45</f>
        <v>7.6929999999999996</v>
      </c>
      <c r="S86" s="588">
        <f>31*$V$75</f>
        <v>81220</v>
      </c>
      <c r="T86" s="601">
        <f>'[9]On-stream days'!$J$31</f>
        <v>31</v>
      </c>
      <c r="U86" s="588">
        <f>[10]A!$I$328</f>
        <v>93830</v>
      </c>
      <c r="V86" s="1295">
        <f t="shared" si="27"/>
        <v>115.5257325781827</v>
      </c>
      <c r="W86" s="590">
        <v>5.609</v>
      </c>
      <c r="X86" s="64"/>
      <c r="Y86" s="1011">
        <v>7</v>
      </c>
      <c r="Z86" s="104" t="s">
        <v>19</v>
      </c>
      <c r="AA86" s="588">
        <f t="shared" si="29"/>
        <v>47120</v>
      </c>
      <c r="AB86" s="588">
        <f>'[12]On-stream days'!$J$6</f>
        <v>31</v>
      </c>
      <c r="AC86" s="588">
        <f>[13]A!$I$285</f>
        <v>47559</v>
      </c>
      <c r="AD86" s="1289">
        <f t="shared" si="24"/>
        <v>100.93166383701188</v>
      </c>
      <c r="AE86" s="590">
        <f>[14]VP!$M$45</f>
        <v>7.7399999999999993</v>
      </c>
      <c r="AF86" s="588">
        <f>31*$AI$75</f>
        <v>81220</v>
      </c>
      <c r="AG86" s="601">
        <f>'[12]On-stream days'!$J$31</f>
        <v>30.82</v>
      </c>
      <c r="AH86" s="588">
        <f>[13]A!$I$310</f>
        <v>81804</v>
      </c>
      <c r="AI86" s="1289">
        <f t="shared" si="25"/>
        <v>100.71903472051218</v>
      </c>
      <c r="AJ86" s="590">
        <v>5.641</v>
      </c>
      <c r="AK86" s="64"/>
    </row>
    <row r="87" spans="12:37" ht="16.5" thickBot="1">
      <c r="L87" s="1011">
        <v>8</v>
      </c>
      <c r="M87" s="104" t="s">
        <v>20</v>
      </c>
      <c r="N87" s="588">
        <f t="shared" si="28"/>
        <v>45600</v>
      </c>
      <c r="O87" s="601">
        <f>'[9]On-stream days'!$K$6</f>
        <v>30</v>
      </c>
      <c r="P87" s="588">
        <f>[10]A!$J$302</f>
        <v>52041</v>
      </c>
      <c r="Q87" s="1295">
        <f t="shared" si="26"/>
        <v>114.12500000000001</v>
      </c>
      <c r="R87" s="588">
        <f>[11]VP!$N$45</f>
        <v>7.7140000000000004</v>
      </c>
      <c r="S87" s="588">
        <f>30*$V$75</f>
        <v>78600</v>
      </c>
      <c r="T87" s="601">
        <f>'[9]On-stream days'!$K$31</f>
        <v>29.37</v>
      </c>
      <c r="U87" s="588">
        <f>[10]A!$J$328</f>
        <v>88990</v>
      </c>
      <c r="V87" s="1295">
        <f t="shared" si="27"/>
        <v>113.21882951653943</v>
      </c>
      <c r="W87" s="590">
        <v>5.65</v>
      </c>
      <c r="X87" s="64"/>
      <c r="Y87" s="1011">
        <v>8</v>
      </c>
      <c r="Z87" s="104" t="s">
        <v>20</v>
      </c>
      <c r="AA87" s="588">
        <f>30*$AE$75</f>
        <v>45600</v>
      </c>
      <c r="AB87" s="588">
        <f>'[12]On-stream days'!$K$6</f>
        <v>30</v>
      </c>
      <c r="AC87" s="588">
        <f>[13]A!$J$285</f>
        <v>47114</v>
      </c>
      <c r="AD87" s="1289">
        <f t="shared" si="24"/>
        <v>103.32017543859649</v>
      </c>
      <c r="AE87" s="588">
        <f>[14]VP!$N$45</f>
        <v>7.7169999999999996</v>
      </c>
      <c r="AF87" s="588">
        <f>30*$AI$75</f>
        <v>78600</v>
      </c>
      <c r="AG87" s="601">
        <f>'[12]On-stream days'!$K$31</f>
        <v>28.18</v>
      </c>
      <c r="AH87" s="588">
        <f>[13]A!$J$310</f>
        <v>77696</v>
      </c>
      <c r="AI87" s="1289">
        <f t="shared" si="25"/>
        <v>98.849872773536902</v>
      </c>
      <c r="AJ87" s="590">
        <v>5.6470000000000002</v>
      </c>
      <c r="AK87" s="64"/>
    </row>
    <row r="88" spans="12:37" ht="16.5" thickBot="1">
      <c r="L88" s="1011">
        <v>9</v>
      </c>
      <c r="M88" s="104" t="s">
        <v>21</v>
      </c>
      <c r="N88" s="588">
        <f>31*$R$75</f>
        <v>47120</v>
      </c>
      <c r="O88" s="601">
        <f>'[9]On-stream days'!$L$6</f>
        <v>29.12</v>
      </c>
      <c r="P88" s="588">
        <f>[10]A!$K$302</f>
        <v>50602</v>
      </c>
      <c r="Q88" s="1295">
        <f t="shared" si="26"/>
        <v>107.38964346349746</v>
      </c>
      <c r="R88" s="588">
        <f>[11]VP!$O$45</f>
        <v>8.1530000000000005</v>
      </c>
      <c r="S88" s="588">
        <f>31*$V$75</f>
        <v>81220</v>
      </c>
      <c r="T88" s="601">
        <f>'[9]On-stream days'!$L$31</f>
        <v>29.21</v>
      </c>
      <c r="U88" s="588">
        <f>[10]A!$K$328</f>
        <v>85944.000001000008</v>
      </c>
      <c r="V88" s="1295">
        <f t="shared" si="27"/>
        <v>105.8163014048264</v>
      </c>
      <c r="W88" s="590">
        <v>5.9779999999999998</v>
      </c>
      <c r="X88" s="64"/>
      <c r="Y88" s="1011">
        <v>9</v>
      </c>
      <c r="Z88" s="104" t="s">
        <v>21</v>
      </c>
      <c r="AA88" s="588">
        <f t="shared" si="29"/>
        <v>47120</v>
      </c>
      <c r="AB88" s="588">
        <f>'[12]On-stream days'!$L$6</f>
        <v>31</v>
      </c>
      <c r="AC88" s="588">
        <f>[13]A!$K$285</f>
        <v>48020</v>
      </c>
      <c r="AD88" s="1289">
        <f>AC88*100/AA88</f>
        <v>101.91001697792869</v>
      </c>
      <c r="AE88" s="588">
        <f>[14]VP!$O$45</f>
        <v>7.71</v>
      </c>
      <c r="AF88" s="588">
        <f>31*$AI$75</f>
        <v>81220</v>
      </c>
      <c r="AG88" s="601">
        <f>'[12]On-stream days'!$L$31</f>
        <v>30.92</v>
      </c>
      <c r="AH88" s="588">
        <f>[13]A!$K$310</f>
        <v>84682</v>
      </c>
      <c r="AI88" s="1289">
        <f>AH88*100/AF88</f>
        <v>104.26249692194041</v>
      </c>
      <c r="AJ88" s="590">
        <v>5.63</v>
      </c>
      <c r="AK88" s="64"/>
    </row>
    <row r="89" spans="12:37" ht="16.5" thickBot="1">
      <c r="L89" s="1011">
        <v>10</v>
      </c>
      <c r="M89" s="104" t="s">
        <v>22</v>
      </c>
      <c r="N89" s="588">
        <f>31*$R$75</f>
        <v>47120</v>
      </c>
      <c r="O89" s="601">
        <f>'[9]On-stream days'!$N$6</f>
        <v>31</v>
      </c>
      <c r="P89" s="588">
        <f>[10]A!$L$302</f>
        <v>52003</v>
      </c>
      <c r="Q89" s="1295">
        <f t="shared" si="26"/>
        <v>110.36290322580643</v>
      </c>
      <c r="R89" s="588">
        <f>[11]VP!$R$45</f>
        <v>7.609</v>
      </c>
      <c r="S89" s="588">
        <f>31*$V$75</f>
        <v>81220</v>
      </c>
      <c r="T89" s="601">
        <f>'[9]On-stream days'!$N$31</f>
        <v>31</v>
      </c>
      <c r="U89" s="588">
        <f>[10]A!$L$328</f>
        <v>88981</v>
      </c>
      <c r="V89" s="1295">
        <f t="shared" si="27"/>
        <v>109.55552819502586</v>
      </c>
      <c r="W89" s="590">
        <v>5.713000000000001</v>
      </c>
      <c r="X89" s="64"/>
      <c r="Y89" s="1011">
        <v>10</v>
      </c>
      <c r="Z89" s="104" t="s">
        <v>22</v>
      </c>
      <c r="AA89" s="588">
        <f t="shared" si="29"/>
        <v>47120</v>
      </c>
      <c r="AB89" s="601">
        <f>'[12]On-stream days'!$N$6</f>
        <v>26.12</v>
      </c>
      <c r="AC89" s="588">
        <f>[13]A!$L$285</f>
        <v>40623</v>
      </c>
      <c r="AD89" s="1289">
        <f t="shared" si="24"/>
        <v>86.211799660441429</v>
      </c>
      <c r="AE89" s="588">
        <f>[14]VP!$R$45</f>
        <v>7.952</v>
      </c>
      <c r="AF89" s="588">
        <f>30*$AI$75</f>
        <v>78600</v>
      </c>
      <c r="AG89" s="601">
        <f>'[12]On-stream days'!$N$31</f>
        <v>26.2</v>
      </c>
      <c r="AH89" s="588">
        <f>[13]A!$L$310</f>
        <v>71471</v>
      </c>
      <c r="AI89" s="1289">
        <f t="shared" si="25"/>
        <v>90.930025445292614</v>
      </c>
      <c r="AJ89" s="590">
        <v>5.851</v>
      </c>
      <c r="AK89" s="64"/>
    </row>
    <row r="90" spans="12:37" ht="16.5" thickBot="1">
      <c r="L90" s="1012">
        <v>11</v>
      </c>
      <c r="M90" s="1013" t="s">
        <v>23</v>
      </c>
      <c r="N90" s="588">
        <f>28*$R$75</f>
        <v>42560</v>
      </c>
      <c r="O90" s="601">
        <f>'[9]On-stream days'!$O$6</f>
        <v>28</v>
      </c>
      <c r="P90" s="588">
        <f>[10]A!$M$302</f>
        <v>48272</v>
      </c>
      <c r="Q90" s="1295">
        <f t="shared" si="26"/>
        <v>113.42105263157896</v>
      </c>
      <c r="R90" s="588">
        <f>[11]VP!$S$45</f>
        <v>7.625</v>
      </c>
      <c r="S90" s="588">
        <f>28*$V$75</f>
        <v>73360</v>
      </c>
      <c r="T90" s="601">
        <f>'[9]On-stream days'!$O$31</f>
        <v>27.53</v>
      </c>
      <c r="U90" s="588">
        <f>[10]A!$M$328</f>
        <v>78805</v>
      </c>
      <c r="V90" s="1295">
        <f t="shared" si="27"/>
        <v>107.42230098146128</v>
      </c>
      <c r="W90" s="590">
        <v>5.7350000000000012</v>
      </c>
      <c r="X90" s="64"/>
      <c r="Y90" s="1012">
        <v>11</v>
      </c>
      <c r="Z90" s="1013" t="s">
        <v>23</v>
      </c>
      <c r="AA90" s="588">
        <f>29*$AE$75</f>
        <v>44080</v>
      </c>
      <c r="AB90" s="588">
        <f>'[12]On-stream days'!$O$6</f>
        <v>28</v>
      </c>
      <c r="AC90" s="588">
        <f>[13]A!$M$285</f>
        <v>42824</v>
      </c>
      <c r="AD90" s="1289">
        <f t="shared" si="24"/>
        <v>97.150635208711435</v>
      </c>
      <c r="AE90" s="588">
        <f>[14]VP!$S$45</f>
        <v>7.777000000000001</v>
      </c>
      <c r="AF90" s="588">
        <f>28*$AI$75</f>
        <v>73360</v>
      </c>
      <c r="AG90" s="601">
        <f>'[12]On-stream days'!$O$31</f>
        <v>28</v>
      </c>
      <c r="AH90" s="588">
        <f>[13]A!$M$310</f>
        <v>77693</v>
      </c>
      <c r="AI90" s="1289">
        <f t="shared" si="25"/>
        <v>105.90648854961832</v>
      </c>
      <c r="AJ90" s="590">
        <v>5.6820000000000004</v>
      </c>
      <c r="AK90" s="64"/>
    </row>
    <row r="91" spans="12:37" ht="15.75">
      <c r="L91" s="188">
        <v>12</v>
      </c>
      <c r="M91" s="1277" t="s">
        <v>24</v>
      </c>
      <c r="N91" s="592">
        <f t="shared" si="28"/>
        <v>45600</v>
      </c>
      <c r="O91" s="626">
        <f>'[9]On-stream days'!$P$6</f>
        <v>31</v>
      </c>
      <c r="P91" s="592">
        <f>[10]A!$N$302</f>
        <v>54098</v>
      </c>
      <c r="Q91" s="1296">
        <f t="shared" si="26"/>
        <v>118.6359649122807</v>
      </c>
      <c r="R91" s="592">
        <f>[11]VP!$T$45</f>
        <v>7.7460000000000004</v>
      </c>
      <c r="S91" s="592">
        <f>31*$V$75</f>
        <v>81220</v>
      </c>
      <c r="T91" s="626">
        <f>'[9]On-stream days'!$P$31</f>
        <v>30.55</v>
      </c>
      <c r="U91" s="592">
        <f>[10]A!$N$328</f>
        <v>88535</v>
      </c>
      <c r="V91" s="1296">
        <f t="shared" si="27"/>
        <v>109.00640236394976</v>
      </c>
      <c r="W91" s="594">
        <v>5.7282899391931261</v>
      </c>
      <c r="X91" s="64"/>
      <c r="Y91" s="188">
        <v>12</v>
      </c>
      <c r="Z91" s="671" t="s">
        <v>24</v>
      </c>
      <c r="AA91" s="592">
        <f t="shared" si="29"/>
        <v>47120</v>
      </c>
      <c r="AB91" s="626">
        <f>'[12]On-stream days'!$P$6</f>
        <v>29.52</v>
      </c>
      <c r="AC91" s="592">
        <f>[13]A!$N$285</f>
        <v>45796</v>
      </c>
      <c r="AD91" s="1290">
        <f t="shared" si="24"/>
        <v>97.190152801358238</v>
      </c>
      <c r="AE91" s="592">
        <f>[14]VP!$T$45</f>
        <v>7.907</v>
      </c>
      <c r="AF91" s="592">
        <f>31*$AI$75</f>
        <v>81220</v>
      </c>
      <c r="AG91" s="626">
        <f>'[12]On-stream days'!$P$31</f>
        <v>29.35</v>
      </c>
      <c r="AH91" s="592">
        <f>[13]A!$N$310</f>
        <v>80301</v>
      </c>
      <c r="AI91" s="1290">
        <f t="shared" si="25"/>
        <v>98.868505294262491</v>
      </c>
      <c r="AJ91" s="594">
        <v>5.7679999999999998</v>
      </c>
      <c r="AK91" s="64"/>
    </row>
    <row r="92" spans="12:37" ht="15.75">
      <c r="L92" s="1303"/>
      <c r="M92" s="1122"/>
      <c r="N92" s="1122"/>
      <c r="O92" s="1122"/>
      <c r="P92" s="1122"/>
      <c r="Q92" s="1122"/>
      <c r="R92" s="1122"/>
      <c r="S92" s="1122"/>
      <c r="T92" s="1122"/>
      <c r="U92" s="1122">
        <f>SUM(U80:U91)</f>
        <v>1006529.000001</v>
      </c>
      <c r="V92" s="1122"/>
      <c r="W92" s="1122"/>
      <c r="X92" s="64"/>
      <c r="Y92" s="1298"/>
      <c r="Z92" s="1299"/>
      <c r="AA92" s="1299"/>
      <c r="AB92" s="1299">
        <f>SUM(AB80:AB91)</f>
        <v>334.51</v>
      </c>
      <c r="AC92" s="1299"/>
      <c r="AD92" s="1300">
        <f>SUMPRODUCT(AA80:AA91,AD80:AD91)/SUM(AA80:AA91)</f>
        <v>89.350553638193844</v>
      </c>
      <c r="AE92" s="1301">
        <f>SUMPRODUCT(AE80:AE91,AC80:AC91)/SUM(AC80:AC91)</f>
        <v>7.9453727787557211</v>
      </c>
      <c r="AF92" s="1299"/>
      <c r="AG92" s="1299">
        <f>SUM(AG80:AG91)</f>
        <v>326.31700000000001</v>
      </c>
      <c r="AH92" s="1299"/>
      <c r="AI92" s="1300">
        <f>SUMPRODUCT(AF80:AF91,AI80:AI91)/SUM(AF80:AF91)</f>
        <v>90.77636104353661</v>
      </c>
      <c r="AJ92" s="1302">
        <f>SUMPRODUCT(AJ80:AJ91,AH80:AH91)/SUM(AH80:AH91)</f>
        <v>5.832562774628169</v>
      </c>
      <c r="AK92" s="64"/>
    </row>
    <row r="93" spans="12:37" ht="15.75">
      <c r="L93" s="913" t="s">
        <v>78</v>
      </c>
      <c r="M93" s="913" t="s">
        <v>962</v>
      </c>
      <c r="N93" s="913"/>
      <c r="O93" s="64"/>
      <c r="P93" s="64"/>
      <c r="Q93" s="64"/>
      <c r="R93" s="64"/>
      <c r="S93" s="64"/>
      <c r="T93" s="64"/>
      <c r="U93" s="64"/>
      <c r="V93" s="64"/>
      <c r="W93" s="64"/>
      <c r="X93" s="64"/>
      <c r="Y93" s="913" t="s">
        <v>82</v>
      </c>
      <c r="Z93" s="913" t="s">
        <v>966</v>
      </c>
      <c r="AA93" s="64"/>
      <c r="AB93" s="64"/>
      <c r="AC93" s="64"/>
      <c r="AD93" s="64"/>
      <c r="AE93" s="64"/>
      <c r="AF93" s="64"/>
      <c r="AG93" s="64"/>
      <c r="AH93" s="64"/>
      <c r="AI93" s="64"/>
      <c r="AJ93" s="107"/>
      <c r="AK93" s="64"/>
    </row>
    <row r="94" spans="12:37" ht="15.75" thickBot="1">
      <c r="L94" s="962"/>
      <c r="M94" s="64"/>
      <c r="N94" s="64"/>
      <c r="O94" s="64"/>
      <c r="P94" s="64"/>
      <c r="Q94" s="64"/>
      <c r="R94" s="64"/>
      <c r="S94" s="64"/>
      <c r="T94" s="64"/>
      <c r="U94" s="64"/>
      <c r="V94" s="64"/>
      <c r="W94" s="64"/>
      <c r="X94" s="64"/>
      <c r="Y94" s="962"/>
      <c r="Z94" s="64"/>
      <c r="AA94" s="64"/>
      <c r="AB94" s="64"/>
      <c r="AC94" s="64"/>
      <c r="AD94" s="64"/>
      <c r="AE94" s="64"/>
      <c r="AF94" s="64"/>
      <c r="AG94" s="64"/>
      <c r="AH94" s="64"/>
      <c r="AI94" s="64"/>
      <c r="AJ94" s="64"/>
      <c r="AK94" s="64"/>
    </row>
    <row r="95" spans="12:37" ht="16.5" customHeight="1" thickBot="1">
      <c r="L95" s="1004" t="s">
        <v>0</v>
      </c>
      <c r="M95" s="1014" t="s">
        <v>1</v>
      </c>
      <c r="N95" s="1400" t="s">
        <v>2</v>
      </c>
      <c r="O95" s="1401"/>
      <c r="P95" s="1401"/>
      <c r="Q95" s="1401"/>
      <c r="R95" s="1402"/>
      <c r="S95" s="1400" t="s">
        <v>3</v>
      </c>
      <c r="T95" s="1401"/>
      <c r="U95" s="1401"/>
      <c r="V95" s="1401"/>
      <c r="W95" s="1402"/>
      <c r="X95" s="64"/>
      <c r="Y95" s="1004" t="s">
        <v>0</v>
      </c>
      <c r="Z95" s="1014" t="s">
        <v>1</v>
      </c>
      <c r="AA95" s="1400" t="s">
        <v>2</v>
      </c>
      <c r="AB95" s="1401"/>
      <c r="AC95" s="1401"/>
      <c r="AD95" s="1401"/>
      <c r="AE95" s="1402"/>
      <c r="AF95" s="1400" t="s">
        <v>3</v>
      </c>
      <c r="AG95" s="1401"/>
      <c r="AH95" s="1401"/>
      <c r="AI95" s="1401"/>
      <c r="AJ95" s="1402"/>
      <c r="AK95" s="64"/>
    </row>
    <row r="96" spans="12:37" ht="15.75">
      <c r="L96" s="1392"/>
      <c r="M96" s="1392"/>
      <c r="N96" s="1006" t="s">
        <v>4</v>
      </c>
      <c r="O96" s="1015" t="s">
        <v>6</v>
      </c>
      <c r="P96" s="1016" t="s">
        <v>7</v>
      </c>
      <c r="Q96" s="1392" t="s">
        <v>8</v>
      </c>
      <c r="R96" s="1392" t="s">
        <v>32</v>
      </c>
      <c r="S96" s="1006" t="s">
        <v>4</v>
      </c>
      <c r="T96" s="1015" t="s">
        <v>6</v>
      </c>
      <c r="U96" s="1017" t="s">
        <v>7</v>
      </c>
      <c r="V96" s="1392" t="s">
        <v>8</v>
      </c>
      <c r="W96" s="1392" t="s">
        <v>32</v>
      </c>
      <c r="X96" s="64"/>
      <c r="Y96" s="1392"/>
      <c r="Z96" s="1392"/>
      <c r="AA96" s="1006" t="s">
        <v>4</v>
      </c>
      <c r="AB96" s="1015" t="s">
        <v>6</v>
      </c>
      <c r="AC96" s="1016" t="s">
        <v>7</v>
      </c>
      <c r="AD96" s="1392" t="s">
        <v>8</v>
      </c>
      <c r="AE96" s="1392" t="s">
        <v>32</v>
      </c>
      <c r="AF96" s="1006" t="s">
        <v>4</v>
      </c>
      <c r="AG96" s="1015" t="s">
        <v>6</v>
      </c>
      <c r="AH96" s="1017" t="s">
        <v>7</v>
      </c>
      <c r="AI96" s="1392" t="s">
        <v>8</v>
      </c>
      <c r="AJ96" s="1392" t="s">
        <v>32</v>
      </c>
      <c r="AK96" s="64"/>
    </row>
    <row r="97" spans="12:37" ht="16.5" thickBot="1">
      <c r="L97" s="1393"/>
      <c r="M97" s="1393"/>
      <c r="N97" s="1005" t="s">
        <v>5</v>
      </c>
      <c r="O97" s="1018"/>
      <c r="P97" s="1019"/>
      <c r="Q97" s="1393"/>
      <c r="R97" s="1393"/>
      <c r="S97" s="1005" t="s">
        <v>5</v>
      </c>
      <c r="T97" s="1018"/>
      <c r="U97" s="1020"/>
      <c r="V97" s="1393"/>
      <c r="W97" s="1393"/>
      <c r="X97" s="64"/>
      <c r="Y97" s="1393"/>
      <c r="Z97" s="1393"/>
      <c r="AA97" s="1005" t="s">
        <v>5</v>
      </c>
      <c r="AB97" s="1018"/>
      <c r="AC97" s="1019"/>
      <c r="AD97" s="1393"/>
      <c r="AE97" s="1393"/>
      <c r="AF97" s="1005" t="s">
        <v>5</v>
      </c>
      <c r="AG97" s="1018"/>
      <c r="AH97" s="1020"/>
      <c r="AI97" s="1393"/>
      <c r="AJ97" s="1393"/>
      <c r="AK97" s="64"/>
    </row>
    <row r="98" spans="12:37" ht="26.25" customHeight="1" thickBot="1">
      <c r="L98" s="1009"/>
      <c r="M98" s="1010"/>
      <c r="N98" s="1010" t="s">
        <v>9</v>
      </c>
      <c r="O98" s="1010" t="s">
        <v>10</v>
      </c>
      <c r="P98" s="1010" t="s">
        <v>11</v>
      </c>
      <c r="Q98" s="1010" t="s">
        <v>12</v>
      </c>
      <c r="R98" s="1010" t="s">
        <v>33</v>
      </c>
      <c r="S98" s="1010" t="s">
        <v>9</v>
      </c>
      <c r="T98" s="1010" t="s">
        <v>10</v>
      </c>
      <c r="U98" s="1010" t="s">
        <v>11</v>
      </c>
      <c r="V98" s="1010" t="s">
        <v>12</v>
      </c>
      <c r="W98" s="1010" t="s">
        <v>33</v>
      </c>
      <c r="X98" s="64"/>
      <c r="Y98" s="1205"/>
      <c r="Z98" s="1207"/>
      <c r="AA98" s="1010" t="s">
        <v>9</v>
      </c>
      <c r="AB98" s="1010" t="s">
        <v>10</v>
      </c>
      <c r="AC98" s="1010" t="s">
        <v>11</v>
      </c>
      <c r="AD98" s="1010" t="s">
        <v>12</v>
      </c>
      <c r="AE98" s="1010" t="s">
        <v>33</v>
      </c>
      <c r="AF98" s="1010" t="s">
        <v>9</v>
      </c>
      <c r="AG98" s="1010" t="s">
        <v>10</v>
      </c>
      <c r="AH98" s="1010" t="s">
        <v>11</v>
      </c>
      <c r="AI98" s="1010" t="s">
        <v>12</v>
      </c>
      <c r="AJ98" s="1010" t="s">
        <v>33</v>
      </c>
      <c r="AK98" s="64"/>
    </row>
    <row r="99" spans="12:37" ht="16.5" thickBot="1">
      <c r="L99" s="1116">
        <v>1</v>
      </c>
      <c r="M99" s="1208" t="str">
        <f>M80</f>
        <v>April</v>
      </c>
      <c r="N99" s="601">
        <f>O80</f>
        <v>29.81</v>
      </c>
      <c r="O99" s="599">
        <f>P80</f>
        <v>50473</v>
      </c>
      <c r="P99" s="1264">
        <f>Q80</f>
        <v>110.68640350877192</v>
      </c>
      <c r="Q99" s="598">
        <f>R80</f>
        <v>7.7849999999999993</v>
      </c>
      <c r="R99" s="1021">
        <f t="shared" ref="R99:R111" si="30">(Q99*O99)</f>
        <v>392932.30499999993</v>
      </c>
      <c r="S99" s="601"/>
      <c r="T99" s="598"/>
      <c r="U99" s="1263"/>
      <c r="V99" s="590"/>
      <c r="W99" s="1021">
        <f t="shared" ref="W99:W111" si="31">T99*V99</f>
        <v>0</v>
      </c>
      <c r="X99" s="64"/>
      <c r="Y99" s="1206">
        <v>1</v>
      </c>
      <c r="Z99" s="1291" t="s">
        <v>13</v>
      </c>
      <c r="AA99" s="588"/>
      <c r="AB99" s="588"/>
      <c r="AC99" s="1263"/>
      <c r="AD99" s="588"/>
      <c r="AE99" s="1034">
        <f t="shared" ref="AE99:AE111" si="32">AB99*AD99</f>
        <v>0</v>
      </c>
      <c r="AF99" s="588"/>
      <c r="AG99" s="588"/>
      <c r="AH99" s="1263"/>
      <c r="AI99" s="590"/>
      <c r="AJ99" s="105">
        <f t="shared" ref="AJ99:AJ111" si="33">AG99*AI99</f>
        <v>0</v>
      </c>
      <c r="AK99" s="64"/>
    </row>
    <row r="100" spans="12:37" ht="16.5" thickBot="1">
      <c r="L100" s="1116">
        <v>2</v>
      </c>
      <c r="M100" s="1118"/>
      <c r="N100" s="601"/>
      <c r="O100" s="599"/>
      <c r="P100" s="1264"/>
      <c r="Q100" s="598"/>
      <c r="R100" s="1021">
        <f t="shared" si="30"/>
        <v>0</v>
      </c>
      <c r="S100" s="601"/>
      <c r="T100" s="598"/>
      <c r="U100" s="1263"/>
      <c r="V100" s="590"/>
      <c r="W100" s="1021">
        <f t="shared" si="31"/>
        <v>0</v>
      </c>
      <c r="X100" s="64"/>
      <c r="Y100" s="1117">
        <v>2</v>
      </c>
      <c r="Z100" s="1291"/>
      <c r="AA100" s="588"/>
      <c r="AB100" s="588"/>
      <c r="AC100" s="1263"/>
      <c r="AD100" s="588"/>
      <c r="AE100" s="1034">
        <f t="shared" si="32"/>
        <v>0</v>
      </c>
      <c r="AF100" s="588"/>
      <c r="AG100" s="588"/>
      <c r="AH100" s="1263"/>
      <c r="AI100" s="590"/>
      <c r="AJ100" s="105">
        <f t="shared" si="33"/>
        <v>0</v>
      </c>
      <c r="AK100" s="64"/>
    </row>
    <row r="101" spans="12:37" ht="16.5" thickBot="1">
      <c r="L101" s="1116">
        <v>3</v>
      </c>
      <c r="M101" s="1118"/>
      <c r="N101" s="601"/>
      <c r="O101" s="599"/>
      <c r="P101" s="1264"/>
      <c r="Q101" s="598"/>
      <c r="R101" s="1021">
        <f t="shared" si="30"/>
        <v>0</v>
      </c>
      <c r="S101" s="601"/>
      <c r="T101" s="598"/>
      <c r="U101" s="1263"/>
      <c r="V101" s="590"/>
      <c r="W101" s="1021">
        <f t="shared" si="31"/>
        <v>0</v>
      </c>
      <c r="X101" s="64"/>
      <c r="Y101" s="1117">
        <v>3</v>
      </c>
      <c r="Z101" s="1291"/>
      <c r="AA101" s="588"/>
      <c r="AB101" s="588"/>
      <c r="AC101" s="1263"/>
      <c r="AD101" s="588"/>
      <c r="AE101" s="1034">
        <f t="shared" si="32"/>
        <v>0</v>
      </c>
      <c r="AF101" s="588"/>
      <c r="AG101" s="588"/>
      <c r="AH101" s="1263"/>
      <c r="AI101" s="590"/>
      <c r="AJ101" s="105">
        <f t="shared" si="33"/>
        <v>0</v>
      </c>
      <c r="AK101" s="64"/>
    </row>
    <row r="102" spans="12:37" ht="16.5" thickBot="1">
      <c r="L102" s="1116">
        <v>4</v>
      </c>
      <c r="M102" s="1118"/>
      <c r="N102" s="601">
        <f>O84</f>
        <v>31</v>
      </c>
      <c r="O102" s="599">
        <f t="shared" ref="O102:Q109" si="34">P84</f>
        <v>53969</v>
      </c>
      <c r="P102" s="1264">
        <f t="shared" si="34"/>
        <v>114.53522920203736</v>
      </c>
      <c r="Q102" s="598">
        <f t="shared" si="34"/>
        <v>7.81</v>
      </c>
      <c r="R102" s="1021">
        <f t="shared" si="30"/>
        <v>421497.88999999996</v>
      </c>
      <c r="S102" s="601"/>
      <c r="T102" s="598"/>
      <c r="U102" s="1263"/>
      <c r="V102" s="590"/>
      <c r="W102" s="1021">
        <f t="shared" si="31"/>
        <v>0</v>
      </c>
      <c r="X102" s="64"/>
      <c r="Y102" s="1117">
        <v>4</v>
      </c>
      <c r="Z102" s="1291"/>
      <c r="AA102" s="588"/>
      <c r="AB102" s="588"/>
      <c r="AC102" s="1263"/>
      <c r="AD102" s="588"/>
      <c r="AE102" s="1034">
        <f t="shared" si="32"/>
        <v>0</v>
      </c>
      <c r="AF102" s="588"/>
      <c r="AG102" s="588"/>
      <c r="AH102" s="1263"/>
      <c r="AI102" s="590"/>
      <c r="AJ102" s="105">
        <f t="shared" si="33"/>
        <v>0</v>
      </c>
      <c r="AK102" s="64"/>
    </row>
    <row r="103" spans="12:37" ht="16.5" thickBot="1">
      <c r="L103" s="1116">
        <v>5</v>
      </c>
      <c r="M103" s="1118"/>
      <c r="N103" s="601">
        <f>O85</f>
        <v>30</v>
      </c>
      <c r="O103" s="599">
        <f t="shared" si="34"/>
        <v>52032</v>
      </c>
      <c r="P103" s="1264">
        <f t="shared" si="34"/>
        <v>114.10526315789473</v>
      </c>
      <c r="Q103" s="598">
        <f t="shared" si="34"/>
        <v>7.6760000000000002</v>
      </c>
      <c r="R103" s="1021">
        <f t="shared" si="30"/>
        <v>399397.63199999998</v>
      </c>
      <c r="S103" s="601"/>
      <c r="T103" s="598"/>
      <c r="U103" s="1263"/>
      <c r="V103" s="590"/>
      <c r="W103" s="1021">
        <f t="shared" si="31"/>
        <v>0</v>
      </c>
      <c r="X103" s="64"/>
      <c r="Y103" s="1117">
        <v>5</v>
      </c>
      <c r="Z103" s="1291"/>
      <c r="AA103" s="588"/>
      <c r="AB103" s="588"/>
      <c r="AC103" s="1263"/>
      <c r="AD103" s="588"/>
      <c r="AE103" s="1034">
        <f t="shared" si="32"/>
        <v>0</v>
      </c>
      <c r="AF103" s="588"/>
      <c r="AG103" s="588"/>
      <c r="AH103" s="1263"/>
      <c r="AI103" s="590"/>
      <c r="AJ103" s="105">
        <f t="shared" si="33"/>
        <v>0</v>
      </c>
      <c r="AK103" s="64"/>
    </row>
    <row r="104" spans="12:37" ht="16.5" thickBot="1">
      <c r="L104" s="1116">
        <v>6</v>
      </c>
      <c r="M104" s="1118"/>
      <c r="N104" s="601">
        <f>O86</f>
        <v>31</v>
      </c>
      <c r="O104" s="599">
        <f t="shared" si="34"/>
        <v>54240</v>
      </c>
      <c r="P104" s="1264">
        <f t="shared" si="34"/>
        <v>115.11035653650255</v>
      </c>
      <c r="Q104" s="598">
        <f t="shared" si="34"/>
        <v>7.6929999999999996</v>
      </c>
      <c r="R104" s="1021">
        <f t="shared" si="30"/>
        <v>417268.32</v>
      </c>
      <c r="S104" s="601">
        <f t="shared" ref="S104:U107" si="35">T86</f>
        <v>31</v>
      </c>
      <c r="T104" s="599">
        <f t="shared" si="35"/>
        <v>93830</v>
      </c>
      <c r="U104" s="1263">
        <f t="shared" si="35"/>
        <v>115.5257325781827</v>
      </c>
      <c r="V104" s="590">
        <f t="shared" ref="V104" si="36">W86</f>
        <v>5.609</v>
      </c>
      <c r="W104" s="1021">
        <f t="shared" si="31"/>
        <v>526292.47</v>
      </c>
      <c r="X104" s="64"/>
      <c r="Y104" s="1117">
        <v>6</v>
      </c>
      <c r="Z104" s="1291"/>
      <c r="AA104" s="588"/>
      <c r="AB104" s="588"/>
      <c r="AC104" s="1263"/>
      <c r="AD104" s="588"/>
      <c r="AE104" s="1034">
        <f t="shared" si="32"/>
        <v>0</v>
      </c>
      <c r="AF104" s="588">
        <f>AG84</f>
        <v>31</v>
      </c>
      <c r="AG104" s="588">
        <f t="shared" ref="AG104:AI104" si="37">AH84</f>
        <v>76990</v>
      </c>
      <c r="AH104" s="1264">
        <f t="shared" si="37"/>
        <v>94.791923171632604</v>
      </c>
      <c r="AI104" s="622">
        <f t="shared" si="37"/>
        <v>5.899</v>
      </c>
      <c r="AJ104" s="105">
        <f t="shared" si="33"/>
        <v>454164.01</v>
      </c>
      <c r="AK104" s="64"/>
    </row>
    <row r="105" spans="12:37" ht="16.5" thickBot="1">
      <c r="L105" s="1116">
        <v>7</v>
      </c>
      <c r="M105" s="1118"/>
      <c r="N105" s="601">
        <f>O87</f>
        <v>30</v>
      </c>
      <c r="O105" s="599">
        <f t="shared" si="34"/>
        <v>52041</v>
      </c>
      <c r="P105" s="1264">
        <f t="shared" si="34"/>
        <v>114.12500000000001</v>
      </c>
      <c r="Q105" s="598">
        <f t="shared" si="34"/>
        <v>7.7140000000000004</v>
      </c>
      <c r="R105" s="1021">
        <f t="shared" si="30"/>
        <v>401444.27400000003</v>
      </c>
      <c r="S105" s="601"/>
      <c r="T105" s="599"/>
      <c r="U105" s="1263"/>
      <c r="V105" s="590"/>
      <c r="W105" s="1021">
        <f t="shared" si="31"/>
        <v>0</v>
      </c>
      <c r="X105" s="64"/>
      <c r="Y105" s="1117">
        <v>7</v>
      </c>
      <c r="Z105" s="1291"/>
      <c r="AA105" s="588"/>
      <c r="AB105" s="588"/>
      <c r="AC105" s="1263"/>
      <c r="AD105" s="588"/>
      <c r="AE105" s="1034">
        <f t="shared" si="32"/>
        <v>0</v>
      </c>
      <c r="AF105" s="588"/>
      <c r="AG105" s="588"/>
      <c r="AH105" s="1263"/>
      <c r="AI105" s="590"/>
      <c r="AJ105" s="105">
        <f t="shared" si="33"/>
        <v>0</v>
      </c>
      <c r="AK105" s="64"/>
    </row>
    <row r="106" spans="12:37" ht="16.5" thickBot="1">
      <c r="L106" s="1116">
        <v>8</v>
      </c>
      <c r="M106" s="1118"/>
      <c r="N106" s="601"/>
      <c r="O106" s="599"/>
      <c r="P106" s="1264"/>
      <c r="Q106" s="598"/>
      <c r="R106" s="1021">
        <f t="shared" si="30"/>
        <v>0</v>
      </c>
      <c r="S106" s="601"/>
      <c r="T106" s="599"/>
      <c r="U106" s="1263"/>
      <c r="V106" s="590"/>
      <c r="W106" s="1021">
        <f t="shared" si="31"/>
        <v>0</v>
      </c>
      <c r="X106" s="64"/>
      <c r="Y106" s="1117">
        <v>8</v>
      </c>
      <c r="Z106" s="1291"/>
      <c r="AA106" s="588">
        <f t="shared" ref="AA106:AD108" si="38">AB86</f>
        <v>31</v>
      </c>
      <c r="AB106" s="588">
        <f t="shared" si="38"/>
        <v>47559</v>
      </c>
      <c r="AC106" s="1264">
        <f t="shared" si="38"/>
        <v>100.93166383701188</v>
      </c>
      <c r="AD106" s="590">
        <f t="shared" si="38"/>
        <v>7.7399999999999993</v>
      </c>
      <c r="AE106" s="1034">
        <f t="shared" si="32"/>
        <v>368106.66</v>
      </c>
      <c r="AF106" s="592"/>
      <c r="AG106" s="592"/>
      <c r="AH106" s="1265"/>
      <c r="AI106" s="594"/>
      <c r="AJ106" s="105">
        <f t="shared" si="33"/>
        <v>0</v>
      </c>
      <c r="AK106" s="64"/>
    </row>
    <row r="107" spans="12:37" ht="16.5" thickBot="1">
      <c r="L107" s="1116">
        <v>9</v>
      </c>
      <c r="M107" s="1118"/>
      <c r="N107" s="601">
        <f>O89</f>
        <v>31</v>
      </c>
      <c r="O107" s="599">
        <f t="shared" si="34"/>
        <v>52003</v>
      </c>
      <c r="P107" s="1264">
        <f t="shared" si="34"/>
        <v>110.36290322580643</v>
      </c>
      <c r="Q107" s="598">
        <f t="shared" si="34"/>
        <v>7.609</v>
      </c>
      <c r="R107" s="1021">
        <f t="shared" si="30"/>
        <v>395690.82699999999</v>
      </c>
      <c r="S107" s="601">
        <f t="shared" si="35"/>
        <v>31</v>
      </c>
      <c r="T107" s="599">
        <f t="shared" si="35"/>
        <v>88981</v>
      </c>
      <c r="U107" s="1263">
        <f t="shared" si="35"/>
        <v>109.55552819502586</v>
      </c>
      <c r="V107" s="590">
        <f t="shared" ref="V107" si="39">W89</f>
        <v>5.713000000000001</v>
      </c>
      <c r="W107" s="1021">
        <f t="shared" si="31"/>
        <v>508348.4530000001</v>
      </c>
      <c r="X107" s="64"/>
      <c r="Y107" s="1117">
        <v>9</v>
      </c>
      <c r="Z107" s="1291"/>
      <c r="AA107" s="588">
        <f t="shared" si="38"/>
        <v>30</v>
      </c>
      <c r="AB107" s="588">
        <f t="shared" si="38"/>
        <v>47114</v>
      </c>
      <c r="AC107" s="1264">
        <f t="shared" si="38"/>
        <v>103.32017543859649</v>
      </c>
      <c r="AD107" s="588">
        <f t="shared" si="38"/>
        <v>7.7169999999999996</v>
      </c>
      <c r="AE107" s="1034">
        <f t="shared" si="32"/>
        <v>363578.73799999995</v>
      </c>
      <c r="AF107" s="621"/>
      <c r="AG107" s="621"/>
      <c r="AH107" s="1266"/>
      <c r="AI107" s="623"/>
      <c r="AJ107" s="105">
        <f t="shared" si="33"/>
        <v>0</v>
      </c>
      <c r="AK107" s="64"/>
    </row>
    <row r="108" spans="12:37" ht="16.5" thickBot="1">
      <c r="L108" s="1116">
        <v>10</v>
      </c>
      <c r="M108" s="1118"/>
      <c r="N108" s="601">
        <f>O90</f>
        <v>28</v>
      </c>
      <c r="O108" s="599">
        <f t="shared" si="34"/>
        <v>48272</v>
      </c>
      <c r="P108" s="1264">
        <f t="shared" si="34"/>
        <v>113.42105263157896</v>
      </c>
      <c r="Q108" s="598">
        <f>R90</f>
        <v>7.625</v>
      </c>
      <c r="R108" s="1021">
        <f t="shared" si="30"/>
        <v>368074</v>
      </c>
      <c r="S108" s="601"/>
      <c r="T108" s="599"/>
      <c r="U108" s="1263"/>
      <c r="V108" s="590"/>
      <c r="W108" s="1021">
        <f t="shared" si="31"/>
        <v>0</v>
      </c>
      <c r="X108" s="64"/>
      <c r="Y108" s="1117">
        <v>10</v>
      </c>
      <c r="Z108" s="1291"/>
      <c r="AA108" s="588">
        <f t="shared" si="38"/>
        <v>31</v>
      </c>
      <c r="AB108" s="588">
        <f t="shared" si="38"/>
        <v>48020</v>
      </c>
      <c r="AC108" s="1264">
        <f t="shared" si="38"/>
        <v>101.91001697792869</v>
      </c>
      <c r="AD108" s="590">
        <f t="shared" si="38"/>
        <v>7.71</v>
      </c>
      <c r="AE108" s="1034">
        <f t="shared" si="32"/>
        <v>370234.2</v>
      </c>
      <c r="AF108" s="588"/>
      <c r="AG108" s="588"/>
      <c r="AH108" s="1263"/>
      <c r="AI108" s="590"/>
      <c r="AJ108" s="105">
        <f t="shared" si="33"/>
        <v>0</v>
      </c>
      <c r="AK108" s="64"/>
    </row>
    <row r="109" spans="12:37" ht="16.5" thickBot="1">
      <c r="L109" s="1116">
        <v>11</v>
      </c>
      <c r="M109" s="1118"/>
      <c r="N109" s="601">
        <f>O91</f>
        <v>31</v>
      </c>
      <c r="O109" s="599">
        <f t="shared" si="34"/>
        <v>54098</v>
      </c>
      <c r="P109" s="1264">
        <f t="shared" si="34"/>
        <v>118.6359649122807</v>
      </c>
      <c r="Q109" s="598">
        <f t="shared" ref="Q109" si="40">R91</f>
        <v>7.7460000000000004</v>
      </c>
      <c r="R109" s="1021">
        <f t="shared" si="30"/>
        <v>419043.10800000001</v>
      </c>
      <c r="S109" s="601"/>
      <c r="T109" s="598"/>
      <c r="U109" s="1263"/>
      <c r="V109" s="590"/>
      <c r="W109" s="1021">
        <f t="shared" si="31"/>
        <v>0</v>
      </c>
      <c r="X109" s="64"/>
      <c r="Y109" s="1117">
        <v>11</v>
      </c>
      <c r="Z109" s="1292"/>
      <c r="AA109" s="588"/>
      <c r="AB109" s="588"/>
      <c r="AC109" s="1263"/>
      <c r="AD109" s="588"/>
      <c r="AE109" s="1034">
        <f t="shared" si="32"/>
        <v>0</v>
      </c>
      <c r="AF109" s="598">
        <f>AG90</f>
        <v>28</v>
      </c>
      <c r="AG109" s="599">
        <f>AH90</f>
        <v>77693</v>
      </c>
      <c r="AH109" s="1264">
        <f>AI90</f>
        <v>105.90648854961832</v>
      </c>
      <c r="AI109" s="590">
        <f>AJ90</f>
        <v>5.6820000000000004</v>
      </c>
      <c r="AJ109" s="1260">
        <f t="shared" si="33"/>
        <v>441451.62600000005</v>
      </c>
      <c r="AK109" s="64"/>
    </row>
    <row r="110" spans="12:37" ht="16.5" thickBot="1">
      <c r="L110" s="1116">
        <v>12</v>
      </c>
      <c r="M110" s="597" t="s">
        <v>24</v>
      </c>
      <c r="N110" s="1118"/>
      <c r="O110" s="1118"/>
      <c r="P110" s="1272"/>
      <c r="Q110" s="1118"/>
      <c r="R110" s="1021">
        <f t="shared" si="30"/>
        <v>0</v>
      </c>
      <c r="S110" s="597"/>
      <c r="T110" s="597"/>
      <c r="U110" s="597"/>
      <c r="V110" s="597"/>
      <c r="W110" s="1021">
        <f t="shared" si="31"/>
        <v>0</v>
      </c>
      <c r="X110" s="64"/>
      <c r="Y110" s="1117">
        <v>12</v>
      </c>
      <c r="Z110" s="1291" t="s">
        <v>24</v>
      </c>
      <c r="AA110" s="588"/>
      <c r="AB110" s="588"/>
      <c r="AC110" s="1267"/>
      <c r="AD110" s="588"/>
      <c r="AE110" s="1034">
        <f t="shared" si="32"/>
        <v>0</v>
      </c>
      <c r="AF110" s="588"/>
      <c r="AG110" s="588"/>
      <c r="AH110" s="1267"/>
      <c r="AI110" s="588"/>
      <c r="AJ110" s="105">
        <f t="shared" si="33"/>
        <v>0</v>
      </c>
      <c r="AK110" s="64"/>
    </row>
    <row r="111" spans="12:37" ht="16.5" thickBot="1">
      <c r="L111" s="1116"/>
      <c r="M111" s="583"/>
      <c r="N111" s="1271"/>
      <c r="O111" s="1271"/>
      <c r="P111" s="1273"/>
      <c r="Q111" s="1271"/>
      <c r="R111" s="1021">
        <f t="shared" si="30"/>
        <v>0</v>
      </c>
      <c r="S111" s="583"/>
      <c r="T111" s="583"/>
      <c r="U111" s="583"/>
      <c r="V111" s="583"/>
      <c r="W111" s="1021">
        <f t="shared" si="31"/>
        <v>0</v>
      </c>
      <c r="X111" s="64"/>
      <c r="Y111" s="1117"/>
      <c r="Z111" s="1291"/>
      <c r="AA111" s="588"/>
      <c r="AB111" s="588"/>
      <c r="AC111" s="1267"/>
      <c r="AD111" s="588"/>
      <c r="AE111" s="1034">
        <f t="shared" si="32"/>
        <v>0</v>
      </c>
      <c r="AF111" s="588"/>
      <c r="AG111" s="588"/>
      <c r="AH111" s="1267"/>
      <c r="AI111" s="588"/>
      <c r="AJ111" s="105">
        <f t="shared" si="33"/>
        <v>0</v>
      </c>
      <c r="AK111" s="64"/>
    </row>
    <row r="112" spans="12:37" ht="16.5" thickBot="1">
      <c r="L112" s="1022"/>
      <c r="M112" s="1023" t="s">
        <v>34</v>
      </c>
      <c r="N112" s="1023"/>
      <c r="O112" s="1024">
        <f>SUM(O99:O111)</f>
        <v>417128</v>
      </c>
      <c r="P112" s="1023"/>
      <c r="Q112" s="1023"/>
      <c r="R112" s="1026">
        <f>SUM(R99:R111)</f>
        <v>3215348.3559999997</v>
      </c>
      <c r="S112" s="1025"/>
      <c r="T112" s="1024">
        <f>SUM(T99:T111)</f>
        <v>182811</v>
      </c>
      <c r="U112" s="1023"/>
      <c r="V112" s="600"/>
      <c r="W112" s="1026">
        <f>SUM(W99:W111)</f>
        <v>1034640.9230000001</v>
      </c>
      <c r="X112" s="64"/>
      <c r="Y112" s="1022"/>
      <c r="Z112" s="1023" t="s">
        <v>34</v>
      </c>
      <c r="AA112" s="1023"/>
      <c r="AB112" s="1024">
        <f>SUM(AB99:AB111)</f>
        <v>142693</v>
      </c>
      <c r="AC112" s="1023"/>
      <c r="AD112" s="1023"/>
      <c r="AE112" s="1035">
        <f>SUM(AE99:AE111)</f>
        <v>1101919.598</v>
      </c>
      <c r="AF112" s="1036"/>
      <c r="AG112" s="1024">
        <f>SUM(AG99:AG111)</f>
        <v>154683</v>
      </c>
      <c r="AH112" s="1023"/>
      <c r="AI112" s="1023"/>
      <c r="AJ112" s="1035">
        <f>SUM(AJ99:AJ111)</f>
        <v>895615.63600000006</v>
      </c>
      <c r="AK112" s="64"/>
    </row>
    <row r="113" spans="2:37" ht="32.25" thickBot="1">
      <c r="L113" s="1022"/>
      <c r="M113" s="1023" t="s">
        <v>35</v>
      </c>
      <c r="N113" s="1023"/>
      <c r="O113" s="1023"/>
      <c r="P113" s="1023"/>
      <c r="Q113" s="1027">
        <f>R112/O112</f>
        <v>7.7083014230643823</v>
      </c>
      <c r="R113" s="1023"/>
      <c r="S113" s="1023"/>
      <c r="T113" s="1023"/>
      <c r="U113" s="1023"/>
      <c r="V113" s="1027">
        <f>W112/T112</f>
        <v>5.6596207175717002</v>
      </c>
      <c r="W113" s="1023"/>
      <c r="X113" s="64"/>
      <c r="Y113" s="1022"/>
      <c r="Z113" s="1023" t="s">
        <v>35</v>
      </c>
      <c r="AA113" s="1023"/>
      <c r="AB113" s="1023"/>
      <c r="AC113" s="1023"/>
      <c r="AD113" s="1027">
        <f>AE112/AB112</f>
        <v>7.7223101203282569</v>
      </c>
      <c r="AE113" s="1023"/>
      <c r="AF113" s="1023"/>
      <c r="AG113" s="1023"/>
      <c r="AH113" s="1023"/>
      <c r="AI113" s="1027">
        <f>AJ112/AG112</f>
        <v>5.7900068915136123</v>
      </c>
      <c r="AJ113" s="1023"/>
      <c r="AK113" s="64"/>
    </row>
    <row r="114" spans="2:37" ht="15.75">
      <c r="L114" s="1028"/>
      <c r="M114" s="905"/>
      <c r="N114" s="905"/>
      <c r="O114" s="905"/>
      <c r="P114" s="905"/>
      <c r="Q114" s="905"/>
      <c r="R114" s="905"/>
      <c r="S114" s="905"/>
      <c r="T114" s="905"/>
      <c r="U114" s="1029"/>
      <c r="V114" s="905"/>
      <c r="W114" s="1029"/>
      <c r="X114" s="64"/>
      <c r="Y114" s="1028"/>
      <c r="Z114" s="905"/>
      <c r="AA114" s="905"/>
      <c r="AB114" s="905"/>
      <c r="AC114" s="905"/>
      <c r="AD114" s="905"/>
      <c r="AE114" s="905"/>
      <c r="AF114" s="905"/>
      <c r="AG114" s="905"/>
      <c r="AH114" s="1029"/>
      <c r="AI114" s="905"/>
      <c r="AJ114" s="1029"/>
      <c r="AK114" s="64"/>
    </row>
    <row r="115" spans="2:37">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row>
    <row r="116" spans="2:37">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row>
    <row r="117" spans="2:37">
      <c r="X117" s="64"/>
      <c r="Y117" s="64"/>
      <c r="Z117" s="64"/>
      <c r="AA117" s="64"/>
      <c r="AB117" s="64"/>
      <c r="AC117" s="64"/>
      <c r="AD117" s="64"/>
      <c r="AE117" s="64"/>
      <c r="AF117" s="64"/>
      <c r="AG117" s="64"/>
      <c r="AH117" s="64"/>
      <c r="AI117" s="64"/>
      <c r="AJ117" s="64"/>
      <c r="AK117" s="64"/>
    </row>
    <row r="118" spans="2:37" s="568" customFormat="1" ht="18.75">
      <c r="B118" s="585"/>
      <c r="D118" s="585"/>
      <c r="J118" s="585"/>
      <c r="X118" s="965"/>
      <c r="Y118" s="997" t="s">
        <v>83</v>
      </c>
      <c r="Z118" s="997" t="s">
        <v>66</v>
      </c>
      <c r="AA118" s="965"/>
      <c r="AB118" s="965"/>
      <c r="AC118" s="965"/>
      <c r="AD118" s="965"/>
      <c r="AE118" s="965"/>
      <c r="AF118" s="965"/>
      <c r="AG118" s="965"/>
      <c r="AH118" s="965"/>
      <c r="AI118" s="965"/>
      <c r="AJ118" s="965"/>
      <c r="AK118" s="965"/>
    </row>
    <row r="119" spans="2:37" ht="19.5" thickBot="1">
      <c r="X119" s="64"/>
      <c r="Y119" s="1030"/>
      <c r="Z119" s="998"/>
      <c r="AA119" s="999"/>
      <c r="AB119" s="1000" t="s">
        <v>93</v>
      </c>
      <c r="AC119" s="1001"/>
      <c r="AD119" s="1002" t="s">
        <v>2</v>
      </c>
      <c r="AE119" s="586">
        <v>1520</v>
      </c>
      <c r="AF119" s="1003"/>
      <c r="AG119" s="1002"/>
      <c r="AH119" s="1000" t="s">
        <v>3</v>
      </c>
      <c r="AI119" s="587">
        <v>2620</v>
      </c>
      <c r="AJ119" s="965"/>
      <c r="AK119" s="64"/>
    </row>
    <row r="120" spans="2:37" ht="16.5" customHeight="1" thickBot="1">
      <c r="X120" s="64"/>
      <c r="Y120" s="1004" t="s">
        <v>0</v>
      </c>
      <c r="Z120" s="1005" t="s">
        <v>1</v>
      </c>
      <c r="AA120" s="1394" t="s">
        <v>2</v>
      </c>
      <c r="AB120" s="1395"/>
      <c r="AC120" s="1395"/>
      <c r="AD120" s="1395"/>
      <c r="AE120" s="1396"/>
      <c r="AF120" s="1397" t="s">
        <v>3</v>
      </c>
      <c r="AG120" s="1398"/>
      <c r="AH120" s="1398"/>
      <c r="AI120" s="1398"/>
      <c r="AJ120" s="1399"/>
      <c r="AK120" s="64"/>
    </row>
    <row r="121" spans="2:37" ht="15.75" customHeight="1">
      <c r="X121" s="64"/>
      <c r="Y121" s="1392"/>
      <c r="Z121" s="1392"/>
      <c r="AA121" s="1006" t="s">
        <v>94</v>
      </c>
      <c r="AB121" s="1006" t="s">
        <v>4</v>
      </c>
      <c r="AC121" s="1392" t="s">
        <v>6</v>
      </c>
      <c r="AD121" s="1392" t="s">
        <v>7</v>
      </c>
      <c r="AE121" s="1392" t="s">
        <v>8</v>
      </c>
      <c r="AF121" s="1007" t="s">
        <v>94</v>
      </c>
      <c r="AG121" s="1006" t="s">
        <v>4</v>
      </c>
      <c r="AH121" s="1392" t="s">
        <v>6</v>
      </c>
      <c r="AI121" s="1392" t="s">
        <v>7</v>
      </c>
      <c r="AJ121" s="1392" t="s">
        <v>8</v>
      </c>
      <c r="AK121" s="64"/>
    </row>
    <row r="122" spans="2:37" ht="16.5" thickBot="1">
      <c r="X122" s="64"/>
      <c r="Y122" s="1393"/>
      <c r="Z122" s="1393"/>
      <c r="AA122" s="1005" t="s">
        <v>95</v>
      </c>
      <c r="AB122" s="1005" t="s">
        <v>5</v>
      </c>
      <c r="AC122" s="1393"/>
      <c r="AD122" s="1393"/>
      <c r="AE122" s="1393"/>
      <c r="AF122" s="1008" t="s">
        <v>95</v>
      </c>
      <c r="AG122" s="1005" t="s">
        <v>5</v>
      </c>
      <c r="AH122" s="1393"/>
      <c r="AI122" s="1393"/>
      <c r="AJ122" s="1393"/>
      <c r="AK122" s="64"/>
    </row>
    <row r="123" spans="2:37" ht="27.75" customHeight="1" thickBot="1">
      <c r="X123" s="64"/>
      <c r="Y123" s="1009"/>
      <c r="Z123" s="1010"/>
      <c r="AA123" s="1010" t="s">
        <v>10</v>
      </c>
      <c r="AB123" s="1010" t="s">
        <v>9</v>
      </c>
      <c r="AC123" s="1010" t="s">
        <v>10</v>
      </c>
      <c r="AD123" s="1010" t="s">
        <v>11</v>
      </c>
      <c r="AE123" s="1010" t="s">
        <v>12</v>
      </c>
      <c r="AF123" s="1010" t="s">
        <v>10</v>
      </c>
      <c r="AG123" s="1010" t="s">
        <v>9</v>
      </c>
      <c r="AH123" s="1010" t="s">
        <v>10</v>
      </c>
      <c r="AI123" s="1010" t="s">
        <v>11</v>
      </c>
      <c r="AJ123" s="1010" t="s">
        <v>12</v>
      </c>
      <c r="AK123" s="64"/>
    </row>
    <row r="124" spans="2:37" ht="16.5" thickBot="1">
      <c r="X124" s="64"/>
      <c r="Y124" s="1011">
        <v>1</v>
      </c>
      <c r="Z124" s="104" t="s">
        <v>13</v>
      </c>
      <c r="AA124" s="588">
        <f>30*$AE$119</f>
        <v>45600</v>
      </c>
      <c r="AB124" s="588">
        <f>'[15]On-stream days'!$B$6</f>
        <v>30</v>
      </c>
      <c r="AC124" s="588">
        <f>[16]A!$C$284</f>
        <v>45445</v>
      </c>
      <c r="AD124" s="1289">
        <f t="shared" ref="AD124:AD135" si="41">AC124*100/AA124</f>
        <v>99.660087719298247</v>
      </c>
      <c r="AE124" s="588">
        <f>[17]VP!$D$45</f>
        <v>7.7190000000000003</v>
      </c>
      <c r="AF124" s="588">
        <f>30*$AI$119</f>
        <v>78600</v>
      </c>
      <c r="AG124" s="588">
        <f>'[15]On-stream days'!$B$31</f>
        <v>29.92</v>
      </c>
      <c r="AH124" s="588">
        <f>[16]A!$C$307</f>
        <v>79019</v>
      </c>
      <c r="AI124" s="1289">
        <f t="shared" ref="AI124:AI135" si="42">AH124*100/AF124</f>
        <v>100.53307888040712</v>
      </c>
      <c r="AJ124" s="590">
        <v>5.7270000000000003</v>
      </c>
      <c r="AK124" s="64"/>
    </row>
    <row r="125" spans="2:37" ht="16.5" thickBot="1">
      <c r="X125" s="64"/>
      <c r="Y125" s="1011">
        <v>2</v>
      </c>
      <c r="Z125" s="104" t="s">
        <v>14</v>
      </c>
      <c r="AA125" s="588">
        <f t="shared" ref="AA125:AA130" si="43">31*$AE$119</f>
        <v>47120</v>
      </c>
      <c r="AB125" s="588">
        <f>'[15]On-stream days'!$C$6</f>
        <v>18.04</v>
      </c>
      <c r="AC125" s="588">
        <f>[16]A!$D$28</f>
        <v>23483</v>
      </c>
      <c r="AD125" s="1289">
        <f t="shared" si="41"/>
        <v>49.836587436332771</v>
      </c>
      <c r="AE125" s="588">
        <f>[17]VP!$E$45</f>
        <v>8.4340000000000011</v>
      </c>
      <c r="AF125" s="588">
        <f>31*$AI$119</f>
        <v>81220</v>
      </c>
      <c r="AG125" s="588">
        <f>'[15]On-stream days'!$C$31</f>
        <v>15.9</v>
      </c>
      <c r="AH125" s="588">
        <f>[16]A!$D$307</f>
        <v>42990</v>
      </c>
      <c r="AI125" s="1289">
        <f t="shared" si="42"/>
        <v>52.930312730854467</v>
      </c>
      <c r="AJ125" s="590">
        <v>6.3959999999999999</v>
      </c>
      <c r="AK125" s="64"/>
    </row>
    <row r="126" spans="2:37" ht="16.5" thickBot="1">
      <c r="X126" s="64"/>
      <c r="Y126" s="1011">
        <v>3</v>
      </c>
      <c r="Z126" s="104" t="s">
        <v>15</v>
      </c>
      <c r="AA126" s="588">
        <f>30*$AE$119</f>
        <v>45600</v>
      </c>
      <c r="AB126" s="588">
        <f>'[15]On-stream days'!$D$6</f>
        <v>30</v>
      </c>
      <c r="AC126" s="588">
        <f>[16]A!$E$284</f>
        <v>43871</v>
      </c>
      <c r="AD126" s="1289">
        <f t="shared" si="41"/>
        <v>96.208333333333329</v>
      </c>
      <c r="AE126" s="588">
        <f>[17]VP!$F$45</f>
        <v>7.915</v>
      </c>
      <c r="AF126" s="588">
        <f>30*$AI$119</f>
        <v>78600</v>
      </c>
      <c r="AG126" s="588">
        <f>'[15]On-stream days'!$D$31</f>
        <v>30</v>
      </c>
      <c r="AH126" s="588">
        <f>[16]A!$E$307</f>
        <v>82770</v>
      </c>
      <c r="AI126" s="1289">
        <f t="shared" si="42"/>
        <v>105.30534351145039</v>
      </c>
      <c r="AJ126" s="590">
        <v>5.7640000000000002</v>
      </c>
      <c r="AK126" s="64"/>
    </row>
    <row r="127" spans="2:37" ht="16.5" thickBot="1">
      <c r="X127" s="64"/>
      <c r="Y127" s="1011">
        <v>4</v>
      </c>
      <c r="Z127" s="104" t="s">
        <v>16</v>
      </c>
      <c r="AA127" s="588">
        <f t="shared" si="43"/>
        <v>47120</v>
      </c>
      <c r="AB127" s="588">
        <f>'[15]On-stream days'!$F$6</f>
        <v>30.64</v>
      </c>
      <c r="AC127" s="588">
        <f>[16]A!$F$284</f>
        <v>47423</v>
      </c>
      <c r="AD127" s="1289">
        <f t="shared" si="41"/>
        <v>100.64303904923599</v>
      </c>
      <c r="AE127" s="588">
        <f>[17]VP!$I$45</f>
        <v>7.9089999999999998</v>
      </c>
      <c r="AF127" s="588">
        <f>31*$AI$119</f>
        <v>81220</v>
      </c>
      <c r="AG127" s="588">
        <f>'[15]On-stream days'!$F$31</f>
        <v>30.625</v>
      </c>
      <c r="AH127" s="588">
        <f>[16]A!$F$307</f>
        <v>83407</v>
      </c>
      <c r="AI127" s="1289">
        <f t="shared" si="42"/>
        <v>102.69268653041122</v>
      </c>
      <c r="AJ127" s="590">
        <v>5.7610000000000001</v>
      </c>
      <c r="AK127" s="64"/>
    </row>
    <row r="128" spans="2:37" ht="16.5" thickBot="1">
      <c r="X128" s="64"/>
      <c r="Y128" s="1011">
        <v>5</v>
      </c>
      <c r="Z128" s="104" t="s">
        <v>17</v>
      </c>
      <c r="AA128" s="588">
        <f t="shared" si="43"/>
        <v>47120</v>
      </c>
      <c r="AB128" s="588">
        <f>'[15]On-stream days'!$G$6</f>
        <v>30.61</v>
      </c>
      <c r="AC128" s="588">
        <f>[16]A!$G$284</f>
        <v>47238</v>
      </c>
      <c r="AD128" s="1289">
        <f t="shared" si="41"/>
        <v>100.25042444821732</v>
      </c>
      <c r="AE128" s="588">
        <f>[17]VP!$J$45</f>
        <v>7.7939999999999996</v>
      </c>
      <c r="AF128" s="588">
        <f>31*$AI$119</f>
        <v>81220</v>
      </c>
      <c r="AG128" s="588">
        <f>'[15]On-stream days'!$G$31</f>
        <v>30.47</v>
      </c>
      <c r="AH128" s="588">
        <f>[16]A!$G$307</f>
        <v>81909</v>
      </c>
      <c r="AI128" s="1289">
        <f t="shared" si="42"/>
        <v>100.84831322334401</v>
      </c>
      <c r="AJ128" s="590">
        <v>5.827</v>
      </c>
      <c r="AK128" s="64"/>
    </row>
    <row r="129" spans="24:37" ht="16.5" thickBot="1">
      <c r="X129" s="64"/>
      <c r="Y129" s="1011">
        <v>6</v>
      </c>
      <c r="Z129" s="104" t="s">
        <v>18</v>
      </c>
      <c r="AA129" s="588">
        <f>30*$AE$119</f>
        <v>45600</v>
      </c>
      <c r="AB129" s="588">
        <f>'[15]On-stream days'!$H$6</f>
        <v>30</v>
      </c>
      <c r="AC129" s="588">
        <f>[16]A!$H$284</f>
        <v>45723</v>
      </c>
      <c r="AD129" s="1289">
        <f t="shared" si="41"/>
        <v>100.26973684210526</v>
      </c>
      <c r="AE129" s="588">
        <f>[17]VP!$K$45</f>
        <v>7.8369999999999997</v>
      </c>
      <c r="AF129" s="588">
        <f>30*$AI$119</f>
        <v>78600</v>
      </c>
      <c r="AG129" s="588">
        <f>'[15]On-stream days'!$H$31</f>
        <v>30</v>
      </c>
      <c r="AH129" s="588">
        <f>[16]A!$H$307</f>
        <v>78797</v>
      </c>
      <c r="AI129" s="1289">
        <f t="shared" si="42"/>
        <v>100.25063613231552</v>
      </c>
      <c r="AJ129" s="590">
        <v>5.7549999999999999</v>
      </c>
      <c r="AK129" s="64"/>
    </row>
    <row r="130" spans="24:37" ht="16.5" thickBot="1">
      <c r="X130" s="64"/>
      <c r="Y130" s="1011">
        <v>7</v>
      </c>
      <c r="Z130" s="104" t="s">
        <v>19</v>
      </c>
      <c r="AA130" s="588">
        <f t="shared" si="43"/>
        <v>47120</v>
      </c>
      <c r="AB130" s="588">
        <f>'[15]On-stream days'!$J$6</f>
        <v>31</v>
      </c>
      <c r="AC130" s="588">
        <f>[16]A!$I$284</f>
        <v>47368</v>
      </c>
      <c r="AD130" s="1289">
        <f t="shared" si="41"/>
        <v>100.52631578947368</v>
      </c>
      <c r="AE130" s="588">
        <f>[17]VP!$M$45</f>
        <v>7.7540000000000004</v>
      </c>
      <c r="AF130" s="588">
        <f>31*$AI$119</f>
        <v>81220</v>
      </c>
      <c r="AG130" s="588">
        <f>'[15]On-stream days'!$J$31</f>
        <v>30.92</v>
      </c>
      <c r="AH130" s="588">
        <f>[16]A!$I$307</f>
        <v>81387</v>
      </c>
      <c r="AI130" s="1289">
        <f t="shared" si="42"/>
        <v>100.20561438069441</v>
      </c>
      <c r="AJ130" s="590">
        <v>5.7279999999999998</v>
      </c>
      <c r="AK130" s="64"/>
    </row>
    <row r="131" spans="24:37" ht="16.5" thickBot="1">
      <c r="X131" s="64"/>
      <c r="Y131" s="1011">
        <v>8</v>
      </c>
      <c r="Z131" s="104" t="s">
        <v>20</v>
      </c>
      <c r="AA131" s="588">
        <f>30*$AE$119</f>
        <v>45600</v>
      </c>
      <c r="AB131" s="588">
        <f>'[15]On-stream days'!$K$6</f>
        <v>30</v>
      </c>
      <c r="AC131" s="588">
        <f>[16]A!$J$284</f>
        <v>45335</v>
      </c>
      <c r="AD131" s="1289">
        <f t="shared" si="41"/>
        <v>99.418859649122808</v>
      </c>
      <c r="AE131" s="588">
        <f>[17]VP!$N$45</f>
        <v>7.7809999999999997</v>
      </c>
      <c r="AF131" s="588">
        <f>30*$AI$119</f>
        <v>78600</v>
      </c>
      <c r="AG131" s="588">
        <f>'[15]On-stream days'!$K$31</f>
        <v>29.04</v>
      </c>
      <c r="AH131" s="588">
        <f>[16]A!$J$307</f>
        <v>76663</v>
      </c>
      <c r="AI131" s="1289">
        <f t="shared" si="42"/>
        <v>97.535623409669213</v>
      </c>
      <c r="AJ131" s="590">
        <v>5.7409999999999997</v>
      </c>
      <c r="AK131" s="64"/>
    </row>
    <row r="132" spans="24:37" ht="16.5" thickBot="1">
      <c r="X132" s="64"/>
      <c r="Y132" s="1011">
        <v>9</v>
      </c>
      <c r="Z132" s="104" t="s">
        <v>21</v>
      </c>
      <c r="AA132" s="588">
        <f>31*$AE$119</f>
        <v>47120</v>
      </c>
      <c r="AB132" s="588">
        <f>'[15]On-stream days'!$L$6</f>
        <v>31</v>
      </c>
      <c r="AC132" s="588">
        <f>[16]A!$K$284</f>
        <v>47094</v>
      </c>
      <c r="AD132" s="1289">
        <f>AC132*100/AA132</f>
        <v>99.944821731748732</v>
      </c>
      <c r="AE132" s="588">
        <f>[17]VP!$O$45</f>
        <v>7.7269999999999994</v>
      </c>
      <c r="AF132" s="588">
        <f>31*$AI$119</f>
        <v>81220</v>
      </c>
      <c r="AG132" s="588">
        <f>'[15]On-stream days'!$L$31</f>
        <v>30.96</v>
      </c>
      <c r="AH132" s="588">
        <f>[16]A!$K$307</f>
        <v>81468</v>
      </c>
      <c r="AI132" s="1289">
        <f>AH132*100/AF132</f>
        <v>100.30534351145039</v>
      </c>
      <c r="AJ132" s="590">
        <v>5.6849999999999996</v>
      </c>
      <c r="AK132" s="64"/>
    </row>
    <row r="133" spans="24:37" ht="16.5" thickBot="1">
      <c r="X133" s="64"/>
      <c r="Y133" s="1011">
        <v>10</v>
      </c>
      <c r="Z133" s="104" t="s">
        <v>22</v>
      </c>
      <c r="AA133" s="588">
        <f>31*$AE$119</f>
        <v>47120</v>
      </c>
      <c r="AB133" s="588">
        <f>'[15]On-stream days'!$N$6</f>
        <v>23.39</v>
      </c>
      <c r="AC133" s="588">
        <f>[16]A!$L$284</f>
        <v>31546</v>
      </c>
      <c r="AD133" s="1289">
        <f t="shared" si="41"/>
        <v>66.948217317487263</v>
      </c>
      <c r="AE133" s="588">
        <f>[17]VP!$R$45</f>
        <v>8.0649999999999995</v>
      </c>
      <c r="AF133" s="588">
        <f>31*$AI$119</f>
        <v>81220</v>
      </c>
      <c r="AG133" s="588">
        <f>'[15]On-stream days'!$N$31</f>
        <v>20.490000000000002</v>
      </c>
      <c r="AH133" s="588">
        <f>[16]A!$L$307</f>
        <v>53348</v>
      </c>
      <c r="AI133" s="1289">
        <f t="shared" si="42"/>
        <v>65.683329229253872</v>
      </c>
      <c r="AJ133" s="590">
        <v>6.3470000000000004</v>
      </c>
      <c r="AK133" s="64"/>
    </row>
    <row r="134" spans="24:37" ht="16.5" thickBot="1">
      <c r="X134" s="64"/>
      <c r="Y134" s="1012">
        <v>11</v>
      </c>
      <c r="Z134" s="1013" t="s">
        <v>23</v>
      </c>
      <c r="AA134" s="588">
        <f>29*$AE$119</f>
        <v>44080</v>
      </c>
      <c r="AB134" s="588">
        <f>'[15]On-stream days'!$O$6</f>
        <v>28.81</v>
      </c>
      <c r="AC134" s="588">
        <f>[16]A!$M$284</f>
        <v>43673</v>
      </c>
      <c r="AD134" s="1289">
        <f t="shared" si="41"/>
        <v>99.076678765880217</v>
      </c>
      <c r="AE134" s="588">
        <f>[17]VP!$S$45</f>
        <v>7.7920000000000007</v>
      </c>
      <c r="AF134" s="588">
        <f>28*$AI$119</f>
        <v>73360</v>
      </c>
      <c r="AG134" s="588">
        <f>'[15]On-stream days'!$O$31</f>
        <v>28.83</v>
      </c>
      <c r="AH134" s="588">
        <f>[16]A!$M$307</f>
        <v>75967</v>
      </c>
      <c r="AI134" s="1289">
        <f t="shared" si="42"/>
        <v>103.55370774263903</v>
      </c>
      <c r="AJ134" s="590">
        <v>5.73</v>
      </c>
      <c r="AK134" s="64"/>
    </row>
    <row r="135" spans="24:37" ht="15.75">
      <c r="X135" s="64"/>
      <c r="Y135" s="188">
        <v>12</v>
      </c>
      <c r="Z135" s="671" t="s">
        <v>24</v>
      </c>
      <c r="AA135" s="592">
        <f>31*$AE$119</f>
        <v>47120</v>
      </c>
      <c r="AB135" s="592">
        <f>'[15]On-stream days'!$P$6</f>
        <v>31</v>
      </c>
      <c r="AC135" s="592">
        <f>[16]A!$N$284</f>
        <v>46952</v>
      </c>
      <c r="AD135" s="1290">
        <f t="shared" si="41"/>
        <v>99.643463497453311</v>
      </c>
      <c r="AE135" s="596">
        <f>[17]VP!$T$45</f>
        <v>7.7050000000000001</v>
      </c>
      <c r="AF135" s="596">
        <f>31*$AI$119</f>
        <v>81220</v>
      </c>
      <c r="AG135" s="596">
        <f>'[15]On-stream days'!$P$31</f>
        <v>30.92</v>
      </c>
      <c r="AH135" s="596">
        <f>[16]A!$N$307</f>
        <v>81954</v>
      </c>
      <c r="AI135" s="1290">
        <f t="shared" si="42"/>
        <v>100.90371829598621</v>
      </c>
      <c r="AJ135" s="594">
        <v>5.6829999999999998</v>
      </c>
      <c r="AK135" s="64"/>
    </row>
    <row r="136" spans="24:37" ht="15.75">
      <c r="X136" s="64"/>
      <c r="Y136" s="1298"/>
      <c r="Z136" s="1299"/>
      <c r="AA136" s="1299"/>
      <c r="AB136" s="1299">
        <f>SUM(AB124:AB135)</f>
        <v>344.48999999999995</v>
      </c>
      <c r="AC136" s="1299"/>
      <c r="AD136" s="1300">
        <f>SUMPRODUCT(AA124:AA135,AD124:AD135)/SUM(AA124:AA135)</f>
        <v>92.59976272648835</v>
      </c>
      <c r="AE136" s="1301">
        <f>SUMPRODUCT(AE124:AE135,AC124:AC135)/SUM(AC124:AC135)</f>
        <v>7.838632329161741</v>
      </c>
      <c r="AF136" s="1299"/>
      <c r="AG136" s="1299">
        <f>SUM(AG124:AG135)</f>
        <v>338.07499999999999</v>
      </c>
      <c r="AH136" s="1299"/>
      <c r="AI136" s="1300">
        <f>SUMPRODUCT(AF124:AF135,AI124:AI135)/SUM(AF124:AF135)</f>
        <v>94.079159259646559</v>
      </c>
      <c r="AJ136" s="1302">
        <f>SUMPRODUCT(AJ124:AJ135,AH124:AH135)/SUM(AH124:AH135)</f>
        <v>5.8075693497347389</v>
      </c>
      <c r="AK136" s="64"/>
    </row>
    <row r="137" spans="24:37" ht="15.75">
      <c r="X137" s="64"/>
      <c r="Y137" s="913" t="s">
        <v>84</v>
      </c>
      <c r="Z137" s="913" t="s">
        <v>67</v>
      </c>
      <c r="AA137" s="64"/>
      <c r="AB137" s="64"/>
      <c r="AC137" s="64"/>
      <c r="AD137" s="64"/>
      <c r="AE137" s="64"/>
      <c r="AF137" s="64"/>
      <c r="AG137" s="64"/>
      <c r="AH137" s="64"/>
      <c r="AI137" s="64"/>
      <c r="AJ137" s="64"/>
      <c r="AK137" s="64"/>
    </row>
    <row r="138" spans="24:37" ht="15.75" thickBot="1">
      <c r="X138" s="64"/>
      <c r="Y138" s="962"/>
      <c r="Z138" s="64"/>
      <c r="AA138" s="64"/>
      <c r="AB138" s="64"/>
      <c r="AC138" s="64"/>
      <c r="AD138" s="64"/>
      <c r="AE138" s="64"/>
      <c r="AF138" s="64"/>
      <c r="AG138" s="64"/>
      <c r="AH138" s="64"/>
      <c r="AI138" s="64"/>
      <c r="AJ138" s="64"/>
      <c r="AK138" s="64"/>
    </row>
    <row r="139" spans="24:37" ht="16.5" customHeight="1" thickBot="1">
      <c r="X139" s="64"/>
      <c r="Y139" s="1004" t="s">
        <v>0</v>
      </c>
      <c r="Z139" s="1014" t="s">
        <v>1</v>
      </c>
      <c r="AA139" s="1400" t="s">
        <v>2</v>
      </c>
      <c r="AB139" s="1401"/>
      <c r="AC139" s="1401"/>
      <c r="AD139" s="1401"/>
      <c r="AE139" s="1402"/>
      <c r="AF139" s="1400" t="s">
        <v>3</v>
      </c>
      <c r="AG139" s="1401"/>
      <c r="AH139" s="1401"/>
      <c r="AI139" s="1401"/>
      <c r="AJ139" s="1402"/>
      <c r="AK139" s="64"/>
    </row>
    <row r="140" spans="24:37" ht="15.75">
      <c r="X140" s="64"/>
      <c r="Y140" s="1392"/>
      <c r="Z140" s="1392"/>
      <c r="AA140" s="1006" t="s">
        <v>4</v>
      </c>
      <c r="AB140" s="1015" t="s">
        <v>6</v>
      </c>
      <c r="AC140" s="1016" t="s">
        <v>7</v>
      </c>
      <c r="AD140" s="1392" t="s">
        <v>8</v>
      </c>
      <c r="AE140" s="1392" t="s">
        <v>32</v>
      </c>
      <c r="AF140" s="1006" t="s">
        <v>4</v>
      </c>
      <c r="AG140" s="1015" t="s">
        <v>6</v>
      </c>
      <c r="AH140" s="1017" t="s">
        <v>7</v>
      </c>
      <c r="AI140" s="1392" t="s">
        <v>8</v>
      </c>
      <c r="AJ140" s="1392" t="s">
        <v>32</v>
      </c>
      <c r="AK140" s="64"/>
    </row>
    <row r="141" spans="24:37" ht="16.5" thickBot="1">
      <c r="X141" s="64"/>
      <c r="Y141" s="1393"/>
      <c r="Z141" s="1393"/>
      <c r="AA141" s="1005" t="s">
        <v>5</v>
      </c>
      <c r="AB141" s="1018"/>
      <c r="AC141" s="1019"/>
      <c r="AD141" s="1393"/>
      <c r="AE141" s="1393"/>
      <c r="AF141" s="1005" t="s">
        <v>5</v>
      </c>
      <c r="AG141" s="1018"/>
      <c r="AH141" s="1020"/>
      <c r="AI141" s="1393"/>
      <c r="AJ141" s="1393"/>
      <c r="AK141" s="64"/>
    </row>
    <row r="142" spans="24:37" ht="16.5" thickBot="1">
      <c r="X142" s="64"/>
      <c r="Y142" s="1009"/>
      <c r="Z142" s="1010"/>
      <c r="AA142" s="1010" t="s">
        <v>9</v>
      </c>
      <c r="AB142" s="1010" t="s">
        <v>10</v>
      </c>
      <c r="AC142" s="1010" t="s">
        <v>11</v>
      </c>
      <c r="AD142" s="1010" t="s">
        <v>12</v>
      </c>
      <c r="AE142" s="1010" t="s">
        <v>33</v>
      </c>
      <c r="AF142" s="1010" t="s">
        <v>9</v>
      </c>
      <c r="AG142" s="1010" t="s">
        <v>10</v>
      </c>
      <c r="AH142" s="1010" t="s">
        <v>11</v>
      </c>
      <c r="AI142" s="1010" t="s">
        <v>12</v>
      </c>
      <c r="AJ142" s="1010" t="s">
        <v>33</v>
      </c>
      <c r="AK142" s="64"/>
    </row>
    <row r="143" spans="24:37" ht="16.5" thickBot="1">
      <c r="X143" s="64"/>
      <c r="Y143" s="1116">
        <v>1</v>
      </c>
      <c r="Z143" s="583" t="s">
        <v>13</v>
      </c>
      <c r="AA143" s="591"/>
      <c r="AB143" s="591"/>
      <c r="AC143" s="1261"/>
      <c r="AD143" s="591"/>
      <c r="AE143" s="1034">
        <f t="shared" ref="AE143:AE154" si="44">AB143*AD143</f>
        <v>0</v>
      </c>
      <c r="AF143" s="588"/>
      <c r="AG143" s="599"/>
      <c r="AH143" s="1263"/>
      <c r="AI143" s="598"/>
      <c r="AJ143" s="1037">
        <f>AG143*AI143</f>
        <v>0</v>
      </c>
      <c r="AK143" s="64"/>
    </row>
    <row r="144" spans="24:37" ht="16.5" thickBot="1">
      <c r="X144" s="64"/>
      <c r="Y144" s="1116">
        <v>2</v>
      </c>
      <c r="Z144" s="583"/>
      <c r="AA144" s="591"/>
      <c r="AB144" s="591"/>
      <c r="AC144" s="1261"/>
      <c r="AD144" s="591"/>
      <c r="AE144" s="1034">
        <f t="shared" si="44"/>
        <v>0</v>
      </c>
      <c r="AF144" s="598">
        <f>AG126</f>
        <v>30</v>
      </c>
      <c r="AG144" s="599">
        <f>AH126</f>
        <v>82770</v>
      </c>
      <c r="AH144" s="1263">
        <f>AI126</f>
        <v>105.30534351145039</v>
      </c>
      <c r="AI144" s="598">
        <f>AJ126</f>
        <v>5.7640000000000002</v>
      </c>
      <c r="AJ144" s="1034">
        <f>AG144*AI144</f>
        <v>477086.28</v>
      </c>
      <c r="AK144" s="64"/>
    </row>
    <row r="145" spans="24:37" ht="16.5" thickBot="1">
      <c r="X145" s="64"/>
      <c r="Y145" s="1116">
        <v>3</v>
      </c>
      <c r="Z145" s="583"/>
      <c r="AA145" s="591"/>
      <c r="AB145" s="591"/>
      <c r="AC145" s="1261"/>
      <c r="AD145" s="591"/>
      <c r="AE145" s="1034">
        <f t="shared" si="44"/>
        <v>0</v>
      </c>
      <c r="AF145" s="598"/>
      <c r="AG145" s="599"/>
      <c r="AH145" s="1263"/>
      <c r="AI145" s="598"/>
      <c r="AJ145" s="1037">
        <f t="shared" ref="AJ145:AJ154" si="45">AG145*AI145</f>
        <v>0</v>
      </c>
      <c r="AK145" s="64"/>
    </row>
    <row r="146" spans="24:37" ht="16.5" thickBot="1">
      <c r="X146" s="64"/>
      <c r="Y146" s="1116">
        <v>4</v>
      </c>
      <c r="Z146" s="583"/>
      <c r="AA146" s="591"/>
      <c r="AB146" s="591"/>
      <c r="AC146" s="1261"/>
      <c r="AD146" s="591"/>
      <c r="AE146" s="1034">
        <f t="shared" si="44"/>
        <v>0</v>
      </c>
      <c r="AF146" s="598"/>
      <c r="AG146" s="599"/>
      <c r="AH146" s="1263"/>
      <c r="AI146" s="598"/>
      <c r="AJ146" s="1037">
        <f t="shared" si="45"/>
        <v>0</v>
      </c>
      <c r="AK146" s="64"/>
    </row>
    <row r="147" spans="24:37" ht="16.5" thickBot="1">
      <c r="X147" s="64"/>
      <c r="Y147" s="1116">
        <v>5</v>
      </c>
      <c r="Z147" s="583"/>
      <c r="AA147" s="588">
        <f t="shared" ref="AA147:AD148" si="46">AB129</f>
        <v>30</v>
      </c>
      <c r="AB147" s="588">
        <f t="shared" si="46"/>
        <v>45723</v>
      </c>
      <c r="AC147" s="1262">
        <f t="shared" si="46"/>
        <v>100.26973684210526</v>
      </c>
      <c r="AD147" s="588">
        <f t="shared" si="46"/>
        <v>7.8369999999999997</v>
      </c>
      <c r="AE147" s="1034">
        <f t="shared" si="44"/>
        <v>358331.15100000001</v>
      </c>
      <c r="AF147" s="598">
        <f>AG129</f>
        <v>30</v>
      </c>
      <c r="AG147" s="599">
        <f t="shared" ref="AG147:AI147" si="47">AH129</f>
        <v>78797</v>
      </c>
      <c r="AH147" s="1263">
        <f t="shared" si="47"/>
        <v>100.25063613231552</v>
      </c>
      <c r="AI147" s="598">
        <f t="shared" si="47"/>
        <v>5.7549999999999999</v>
      </c>
      <c r="AJ147" s="1034">
        <f t="shared" si="45"/>
        <v>453476.73499999999</v>
      </c>
      <c r="AK147" s="64"/>
    </row>
    <row r="148" spans="24:37" ht="16.5" thickBot="1">
      <c r="X148" s="64"/>
      <c r="Y148" s="1116">
        <v>6</v>
      </c>
      <c r="Z148" s="583"/>
      <c r="AA148" s="588">
        <f t="shared" si="46"/>
        <v>31</v>
      </c>
      <c r="AB148" s="588">
        <f t="shared" si="46"/>
        <v>47368</v>
      </c>
      <c r="AC148" s="1262">
        <f t="shared" si="46"/>
        <v>100.52631578947368</v>
      </c>
      <c r="AD148" s="588">
        <f t="shared" si="46"/>
        <v>7.7540000000000004</v>
      </c>
      <c r="AE148" s="1034">
        <f t="shared" si="44"/>
        <v>367291.47200000001</v>
      </c>
      <c r="AF148" s="598"/>
      <c r="AG148" s="599"/>
      <c r="AH148" s="1263"/>
      <c r="AI148" s="598"/>
      <c r="AJ148" s="1037">
        <f t="shared" si="45"/>
        <v>0</v>
      </c>
      <c r="AK148" s="64"/>
    </row>
    <row r="149" spans="24:37" ht="16.5" thickBot="1">
      <c r="X149" s="64"/>
      <c r="Y149" s="1116">
        <v>7</v>
      </c>
      <c r="Z149" s="583"/>
      <c r="AA149" s="588"/>
      <c r="AB149" s="588"/>
      <c r="AC149" s="1262"/>
      <c r="AD149" s="588"/>
      <c r="AE149" s="1034">
        <f t="shared" si="44"/>
        <v>0</v>
      </c>
      <c r="AF149" s="598"/>
      <c r="AG149" s="599"/>
      <c r="AH149" s="1263"/>
      <c r="AI149" s="598"/>
      <c r="AJ149" s="1037">
        <f t="shared" si="45"/>
        <v>0</v>
      </c>
      <c r="AK149" s="64"/>
    </row>
    <row r="150" spans="24:37" ht="16.5" thickBot="1">
      <c r="X150" s="64"/>
      <c r="Y150" s="1116">
        <v>8</v>
      </c>
      <c r="Z150" s="583"/>
      <c r="AA150" s="588"/>
      <c r="AB150" s="588"/>
      <c r="AC150" s="1262"/>
      <c r="AD150" s="588"/>
      <c r="AE150" s="1034">
        <f t="shared" si="44"/>
        <v>0</v>
      </c>
      <c r="AF150" s="598"/>
      <c r="AG150" s="599"/>
      <c r="AH150" s="1263"/>
      <c r="AI150" s="598"/>
      <c r="AJ150" s="1037">
        <f t="shared" si="45"/>
        <v>0</v>
      </c>
      <c r="AK150" s="64"/>
    </row>
    <row r="151" spans="24:37" ht="16.5" thickBot="1">
      <c r="X151" s="64"/>
      <c r="Y151" s="1116">
        <v>9</v>
      </c>
      <c r="Z151" s="583"/>
      <c r="AA151" s="588"/>
      <c r="AB151" s="588"/>
      <c r="AC151" s="1262"/>
      <c r="AD151" s="588"/>
      <c r="AE151" s="1034">
        <f t="shared" si="44"/>
        <v>0</v>
      </c>
      <c r="AF151" s="598"/>
      <c r="AG151" s="599"/>
      <c r="AH151" s="1263"/>
      <c r="AI151" s="598"/>
      <c r="AJ151" s="1037">
        <f t="shared" si="45"/>
        <v>0</v>
      </c>
      <c r="AK151" s="64"/>
    </row>
    <row r="152" spans="24:37" ht="16.5" thickBot="1">
      <c r="X152" s="64"/>
      <c r="Y152" s="1116">
        <v>10</v>
      </c>
      <c r="Z152" s="583"/>
      <c r="AA152" s="588"/>
      <c r="AB152" s="588"/>
      <c r="AC152" s="1262"/>
      <c r="AD152" s="588"/>
      <c r="AE152" s="1034">
        <f t="shared" si="44"/>
        <v>0</v>
      </c>
      <c r="AF152" s="598"/>
      <c r="AG152" s="599"/>
      <c r="AH152" s="1263"/>
      <c r="AI152" s="598"/>
      <c r="AJ152" s="1037">
        <f t="shared" si="45"/>
        <v>0</v>
      </c>
      <c r="AK152" s="64"/>
    </row>
    <row r="153" spans="24:37" ht="16.5" thickBot="1">
      <c r="X153" s="64"/>
      <c r="Y153" s="1116">
        <v>11</v>
      </c>
      <c r="Z153" s="1287"/>
      <c r="AA153" s="588"/>
      <c r="AB153" s="588"/>
      <c r="AC153" s="1262"/>
      <c r="AD153" s="588"/>
      <c r="AE153" s="1034">
        <f t="shared" si="44"/>
        <v>0</v>
      </c>
      <c r="AF153" s="598"/>
      <c r="AG153" s="599"/>
      <c r="AH153" s="1263"/>
      <c r="AI153" s="598"/>
      <c r="AJ153" s="1037">
        <f t="shared" si="45"/>
        <v>0</v>
      </c>
      <c r="AK153" s="64"/>
    </row>
    <row r="154" spans="24:37" ht="16.5" thickBot="1">
      <c r="X154" s="64"/>
      <c r="Y154" s="1116">
        <v>12</v>
      </c>
      <c r="Z154" s="1288" t="s">
        <v>24</v>
      </c>
      <c r="AA154" s="591"/>
      <c r="AB154" s="591"/>
      <c r="AC154" s="1261"/>
      <c r="AD154" s="591"/>
      <c r="AE154" s="1034">
        <f t="shared" si="44"/>
        <v>0</v>
      </c>
      <c r="AF154" s="598"/>
      <c r="AG154" s="599"/>
      <c r="AH154" s="1263"/>
      <c r="AI154" s="598"/>
      <c r="AJ154" s="1037">
        <f t="shared" si="45"/>
        <v>0</v>
      </c>
      <c r="AK154" s="64"/>
    </row>
    <row r="155" spans="24:37" ht="16.5" thickBot="1">
      <c r="Y155" s="1022"/>
      <c r="Z155" s="1023" t="s">
        <v>34</v>
      </c>
      <c r="AA155" s="1023"/>
      <c r="AB155" s="1024">
        <f>SUM(AB143:AB154)</f>
        <v>93091</v>
      </c>
      <c r="AC155" s="1023"/>
      <c r="AD155" s="1023"/>
      <c r="AE155" s="1035">
        <f>SUM(AE143:AE154)</f>
        <v>725622.62300000002</v>
      </c>
      <c r="AF155" s="1036"/>
      <c r="AG155" s="1024">
        <f>SUM(AG143:AG154)</f>
        <v>161567</v>
      </c>
      <c r="AH155" s="1023"/>
      <c r="AI155" s="1023"/>
      <c r="AJ155" s="1035">
        <f>SUM(AJ143:AJ154)</f>
        <v>930563.01500000001</v>
      </c>
    </row>
    <row r="156" spans="24:37" ht="32.25" thickBot="1">
      <c r="Y156" s="1022"/>
      <c r="Z156" s="1023" t="s">
        <v>35</v>
      </c>
      <c r="AA156" s="1023"/>
      <c r="AB156" s="1023"/>
      <c r="AC156" s="1023"/>
      <c r="AD156" s="1027">
        <f>AE155/AB155</f>
        <v>7.7947666584309978</v>
      </c>
      <c r="AE156" s="1023"/>
      <c r="AF156" s="1023"/>
      <c r="AG156" s="1023"/>
      <c r="AH156" s="1023"/>
      <c r="AI156" s="1027">
        <f>AJ155/AG155</f>
        <v>5.7596106568791896</v>
      </c>
      <c r="AJ156" s="1023"/>
    </row>
    <row r="157" spans="24:37" ht="15.75">
      <c r="Y157" s="1200"/>
      <c r="Z157" s="905"/>
      <c r="AA157" s="905"/>
      <c r="AB157" s="905"/>
      <c r="AC157" s="905"/>
      <c r="AD157" s="905"/>
      <c r="AE157" s="905"/>
      <c r="AF157" s="905"/>
      <c r="AG157" s="905"/>
      <c r="AH157" s="1029"/>
      <c r="AI157" s="905"/>
      <c r="AJ157" s="1029"/>
    </row>
    <row r="158" spans="24:37">
      <c r="Y158" s="64"/>
      <c r="Z158" s="64"/>
      <c r="AA158" s="64"/>
      <c r="AB158" s="64"/>
      <c r="AC158" s="64"/>
      <c r="AD158" s="64"/>
      <c r="AE158" s="64"/>
      <c r="AF158" s="64"/>
      <c r="AG158" s="64"/>
      <c r="AH158" s="64"/>
      <c r="AI158" s="64"/>
      <c r="AJ158" s="64"/>
    </row>
    <row r="159" spans="24:37">
      <c r="Y159" s="64"/>
      <c r="Z159" s="64"/>
      <c r="AA159" s="64"/>
      <c r="AB159" s="64"/>
      <c r="AC159" s="64"/>
      <c r="AD159" s="64"/>
      <c r="AE159" s="64"/>
      <c r="AF159" s="64"/>
      <c r="AG159" s="64"/>
      <c r="AH159" s="64"/>
      <c r="AI159" s="64"/>
      <c r="AJ159" s="64"/>
    </row>
  </sheetData>
  <sheetProtection password="CC60" sheet="1" objects="1" scenarios="1"/>
  <customSheetViews>
    <customSheetView guid="{5D90FF31-AD5C-4A69-A320-8978B095DFD4}" scale="72" topLeftCell="P76">
      <selection activeCell="AF94" sqref="AF94"/>
      <pageMargins left="0.7" right="0.7" top="0.75" bottom="0.75" header="0.3" footer="0.3"/>
    </customSheetView>
  </customSheetViews>
  <mergeCells count="92">
    <mergeCell ref="F4:G4"/>
    <mergeCell ref="C27:J32"/>
    <mergeCell ref="Y140:Y141"/>
    <mergeCell ref="N95:R95"/>
    <mergeCell ref="N49:R49"/>
    <mergeCell ref="U77:U78"/>
    <mergeCell ref="V77:V78"/>
    <mergeCell ref="L96:L97"/>
    <mergeCell ref="M96:M97"/>
    <mergeCell ref="Q96:Q97"/>
    <mergeCell ref="R96:R97"/>
    <mergeCell ref="V96:V97"/>
    <mergeCell ref="W77:W78"/>
    <mergeCell ref="N76:R76"/>
    <mergeCell ref="S76:W76"/>
    <mergeCell ref="L50:L51"/>
    <mergeCell ref="AA30:AE30"/>
    <mergeCell ref="Z140:Z141"/>
    <mergeCell ref="AD140:AD141"/>
    <mergeCell ref="AA139:AE139"/>
    <mergeCell ref="Y121:Y122"/>
    <mergeCell ref="Z121:Z122"/>
    <mergeCell ref="AF139:AJ139"/>
    <mergeCell ref="AE140:AE141"/>
    <mergeCell ref="AI140:AI141"/>
    <mergeCell ref="AJ140:AJ141"/>
    <mergeCell ref="AA120:AE120"/>
    <mergeCell ref="AF120:AJ120"/>
    <mergeCell ref="AE121:AE122"/>
    <mergeCell ref="AI121:AI122"/>
    <mergeCell ref="AJ121:AJ122"/>
    <mergeCell ref="AC121:AC122"/>
    <mergeCell ref="AD121:AD122"/>
    <mergeCell ref="AH121:AH122"/>
    <mergeCell ref="AF95:AJ95"/>
    <mergeCell ref="AE96:AE97"/>
    <mergeCell ref="AI96:AI97"/>
    <mergeCell ref="AJ96:AJ97"/>
    <mergeCell ref="AC77:AC78"/>
    <mergeCell ref="AD77:AD78"/>
    <mergeCell ref="AH77:AH78"/>
    <mergeCell ref="AD96:AD97"/>
    <mergeCell ref="AA95:AE95"/>
    <mergeCell ref="AF76:AJ76"/>
    <mergeCell ref="AE77:AE78"/>
    <mergeCell ref="AI77:AI78"/>
    <mergeCell ref="AJ77:AJ78"/>
    <mergeCell ref="AD50:AD51"/>
    <mergeCell ref="AA76:AE76"/>
    <mergeCell ref="AF49:AJ49"/>
    <mergeCell ref="AE50:AE51"/>
    <mergeCell ref="AI50:AI51"/>
    <mergeCell ref="AJ50:AJ51"/>
    <mergeCell ref="AC31:AC32"/>
    <mergeCell ref="AD31:AD32"/>
    <mergeCell ref="AH31:AH32"/>
    <mergeCell ref="AA49:AE49"/>
    <mergeCell ref="AF30:AJ30"/>
    <mergeCell ref="AE31:AE32"/>
    <mergeCell ref="AI31:AI32"/>
    <mergeCell ref="AJ31:AJ32"/>
    <mergeCell ref="W96:W97"/>
    <mergeCell ref="S95:W95"/>
    <mergeCell ref="Y31:Y32"/>
    <mergeCell ref="Z31:Z32"/>
    <mergeCell ref="Y50:Y51"/>
    <mergeCell ref="Z50:Z51"/>
    <mergeCell ref="Y77:Y78"/>
    <mergeCell ref="Z77:Z78"/>
    <mergeCell ref="Y96:Y97"/>
    <mergeCell ref="Z96:Z97"/>
    <mergeCell ref="W50:W51"/>
    <mergeCell ref="S49:W49"/>
    <mergeCell ref="M50:M51"/>
    <mergeCell ref="Q50:Q51"/>
    <mergeCell ref="R50:R51"/>
    <mergeCell ref="V50:V51"/>
    <mergeCell ref="L77:L78"/>
    <mergeCell ref="M77:M78"/>
    <mergeCell ref="P77:P78"/>
    <mergeCell ref="Q77:Q78"/>
    <mergeCell ref="R77:R78"/>
    <mergeCell ref="U31:U32"/>
    <mergeCell ref="V31:V32"/>
    <mergeCell ref="W31:W32"/>
    <mergeCell ref="N30:R30"/>
    <mergeCell ref="S30:W30"/>
    <mergeCell ref="L31:L32"/>
    <mergeCell ref="M31:M32"/>
    <mergeCell ref="P31:P32"/>
    <mergeCell ref="Q31:Q32"/>
    <mergeCell ref="R31:R32"/>
  </mergeCells>
  <dataValidations count="1">
    <dataValidation operator="greaterThanOrEqual" allowBlank="1" showInputMessage="1" showErrorMessage="1" error="Entor Positive values" sqref="H4"/>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52"/>
  <sheetViews>
    <sheetView topLeftCell="C11" zoomScale="70" zoomScaleNormal="70" workbookViewId="0">
      <selection activeCell="O20" sqref="O20"/>
    </sheetView>
  </sheetViews>
  <sheetFormatPr defaultRowHeight="15"/>
  <cols>
    <col min="1" max="1" width="3.7109375" style="513" customWidth="1"/>
    <col min="2" max="2" width="6.5703125" style="513" customWidth="1"/>
    <col min="3" max="11" width="9.140625" style="513"/>
    <col min="12" max="12" width="6" style="513" customWidth="1"/>
    <col min="13" max="13" width="9.140625" style="572"/>
    <col min="14" max="14" width="16.7109375" style="513" customWidth="1"/>
    <col min="15" max="15" width="17.5703125" style="513" customWidth="1"/>
    <col min="16" max="16" width="26.42578125" style="513" customWidth="1"/>
    <col min="17" max="21" width="15.7109375" style="513" customWidth="1"/>
    <col min="22" max="22" width="24.140625" style="513" customWidth="1"/>
    <col min="23" max="23" width="9.140625" style="513"/>
    <col min="24" max="24" width="16.7109375" style="513" customWidth="1"/>
    <col min="25" max="25" width="2.85546875" style="513" customWidth="1"/>
    <col min="26" max="26" width="28.28515625" style="513" customWidth="1"/>
    <col min="27" max="27" width="10.42578125" style="513" customWidth="1"/>
    <col min="28" max="28" width="6.85546875" style="513" customWidth="1"/>
    <col min="29" max="29" width="7.85546875" style="513" customWidth="1"/>
    <col min="30" max="30" width="27.7109375" style="513" customWidth="1"/>
    <col min="31" max="31" width="12.5703125" style="513" customWidth="1"/>
    <col min="32" max="32" width="27.140625" style="513" customWidth="1"/>
    <col min="33" max="33" width="26.85546875" style="513" customWidth="1"/>
    <col min="34" max="34" width="21.140625" style="513" customWidth="1"/>
    <col min="35" max="16384" width="9.140625" style="513"/>
  </cols>
  <sheetData>
    <row r="1" spans="1:26">
      <c r="A1" s="64"/>
      <c r="B1" s="64"/>
      <c r="C1" s="64"/>
      <c r="D1" s="64"/>
      <c r="E1" s="64"/>
      <c r="F1" s="64"/>
      <c r="G1" s="64"/>
      <c r="H1" s="64"/>
      <c r="I1" s="64"/>
      <c r="J1" s="64"/>
      <c r="K1" s="64"/>
      <c r="L1" s="64"/>
      <c r="M1" s="962"/>
      <c r="N1" s="64"/>
      <c r="O1" s="64"/>
      <c r="P1" s="64"/>
      <c r="Q1" s="64"/>
      <c r="R1" s="64"/>
      <c r="S1" s="64"/>
      <c r="T1" s="64"/>
      <c r="U1" s="64"/>
      <c r="V1" s="64"/>
      <c r="W1" s="64"/>
      <c r="X1" s="64"/>
    </row>
    <row r="2" spans="1:26" ht="15.75">
      <c r="A2" s="64"/>
      <c r="B2" s="64"/>
      <c r="C2" s="64"/>
      <c r="D2" s="64"/>
      <c r="E2" s="64"/>
      <c r="F2" s="64"/>
      <c r="G2" s="64"/>
      <c r="H2" s="64"/>
      <c r="I2" s="64"/>
      <c r="J2" s="64"/>
      <c r="K2" s="64"/>
      <c r="L2" s="64"/>
      <c r="M2" s="963"/>
      <c r="N2" s="964"/>
      <c r="O2" s="64"/>
      <c r="P2" s="64"/>
      <c r="Q2" s="64"/>
      <c r="R2" s="64"/>
      <c r="S2" s="64"/>
      <c r="T2" s="64"/>
      <c r="U2" s="64"/>
      <c r="V2" s="64"/>
      <c r="W2" s="64"/>
      <c r="X2" s="64"/>
    </row>
    <row r="3" spans="1:26" s="568" customFormat="1" ht="18.75">
      <c r="A3" s="965"/>
      <c r="B3" s="186"/>
      <c r="C3" s="966" t="s">
        <v>875</v>
      </c>
      <c r="D3" s="967"/>
      <c r="E3" s="967"/>
      <c r="F3" s="967"/>
      <c r="G3" s="967"/>
      <c r="H3" s="967"/>
      <c r="I3" s="967"/>
      <c r="J3" s="967"/>
      <c r="K3" s="967"/>
      <c r="L3" s="967"/>
      <c r="M3" s="968"/>
      <c r="N3" s="967"/>
      <c r="O3" s="965"/>
      <c r="P3" s="965"/>
      <c r="Q3" s="965"/>
      <c r="R3" s="965"/>
      <c r="S3" s="965"/>
      <c r="T3" s="965"/>
      <c r="U3" s="965"/>
      <c r="V3" s="965"/>
      <c r="W3" s="965"/>
      <c r="X3" s="965"/>
    </row>
    <row r="4" spans="1:26" ht="15.75" thickBot="1">
      <c r="A4" s="64"/>
      <c r="B4" s="64"/>
      <c r="C4" s="64"/>
      <c r="D4" s="64"/>
      <c r="E4" s="64"/>
      <c r="F4" s="64"/>
      <c r="G4" s="64"/>
      <c r="H4" s="64"/>
      <c r="I4" s="64"/>
      <c r="J4" s="64"/>
      <c r="K4" s="64"/>
      <c r="L4" s="64"/>
      <c r="M4" s="187"/>
      <c r="N4" s="64"/>
      <c r="O4" s="64"/>
      <c r="P4" s="64"/>
      <c r="Q4" s="64"/>
      <c r="R4" s="64"/>
      <c r="S4" s="64"/>
      <c r="T4" s="64"/>
      <c r="U4" s="64"/>
      <c r="V4" s="64"/>
      <c r="W4" s="64"/>
      <c r="X4" s="992" t="s">
        <v>72</v>
      </c>
      <c r="Y4" s="569"/>
    </row>
    <row r="5" spans="1:26" s="570" customFormat="1" ht="31.5" customHeight="1">
      <c r="A5" s="969"/>
      <c r="B5" s="970"/>
      <c r="C5" s="971"/>
      <c r="D5" s="971"/>
      <c r="E5" s="971"/>
      <c r="F5" s="971"/>
      <c r="G5" s="971"/>
      <c r="H5" s="971"/>
      <c r="I5" s="971"/>
      <c r="J5" s="971"/>
      <c r="K5" s="972"/>
      <c r="L5" s="969"/>
      <c r="M5" s="638" t="s">
        <v>0</v>
      </c>
      <c r="N5" s="638" t="s">
        <v>36</v>
      </c>
      <c r="O5" s="638" t="s">
        <v>37</v>
      </c>
      <c r="P5" s="638" t="s">
        <v>38</v>
      </c>
      <c r="Q5" s="227" t="s">
        <v>931</v>
      </c>
      <c r="R5" s="1377" t="s">
        <v>932</v>
      </c>
      <c r="S5" s="1378"/>
      <c r="T5" s="1278" t="s">
        <v>1030</v>
      </c>
      <c r="U5" s="1279" t="s">
        <v>1031</v>
      </c>
      <c r="V5" s="638" t="s">
        <v>25</v>
      </c>
      <c r="W5" s="969"/>
      <c r="X5" s="993" t="s">
        <v>71</v>
      </c>
      <c r="Y5" s="990"/>
    </row>
    <row r="6" spans="1:26" s="570" customFormat="1" ht="15.75">
      <c r="A6" s="969"/>
      <c r="B6" s="973">
        <v>1</v>
      </c>
      <c r="C6" s="974" t="s">
        <v>192</v>
      </c>
      <c r="D6" s="975"/>
      <c r="E6" s="975"/>
      <c r="F6" s="975"/>
      <c r="G6" s="975"/>
      <c r="H6" s="975"/>
      <c r="I6" s="975"/>
      <c r="J6" s="975"/>
      <c r="K6" s="976"/>
      <c r="L6" s="969"/>
      <c r="M6" s="639"/>
      <c r="N6" s="639"/>
      <c r="O6" s="639"/>
      <c r="P6" s="639"/>
      <c r="Q6" s="227" t="s">
        <v>43</v>
      </c>
      <c r="R6" s="227" t="s">
        <v>886</v>
      </c>
      <c r="S6" s="227" t="s">
        <v>887</v>
      </c>
      <c r="T6" s="1310" t="s">
        <v>1025</v>
      </c>
      <c r="U6" s="1311" t="s">
        <v>1026</v>
      </c>
      <c r="V6" s="639"/>
      <c r="W6" s="969"/>
      <c r="X6" s="994" t="s">
        <v>38</v>
      </c>
      <c r="Y6" s="571"/>
    </row>
    <row r="7" spans="1:26">
      <c r="A7" s="64"/>
      <c r="B7" s="912"/>
      <c r="C7" s="182"/>
      <c r="D7" s="182"/>
      <c r="E7" s="182"/>
      <c r="F7" s="182"/>
      <c r="G7" s="182"/>
      <c r="H7" s="182"/>
      <c r="I7" s="182"/>
      <c r="J7" s="182"/>
      <c r="K7" s="195"/>
      <c r="L7" s="64"/>
      <c r="M7" s="640"/>
      <c r="N7" s="641"/>
      <c r="O7" s="641"/>
      <c r="P7" s="641"/>
      <c r="Q7" s="641"/>
      <c r="R7" s="641"/>
      <c r="S7" s="641"/>
      <c r="T7" s="641"/>
      <c r="U7" s="641"/>
      <c r="V7" s="641"/>
      <c r="W7" s="64"/>
      <c r="X7" s="995" t="s">
        <v>958</v>
      </c>
      <c r="Y7" s="991"/>
    </row>
    <row r="8" spans="1:26" s="520" customFormat="1" ht="48.75" customHeight="1">
      <c r="A8" s="196"/>
      <c r="B8" s="977"/>
      <c r="C8" s="1380" t="s">
        <v>655</v>
      </c>
      <c r="D8" s="1380"/>
      <c r="E8" s="1380"/>
      <c r="F8" s="1380"/>
      <c r="G8" s="1380"/>
      <c r="H8" s="1380"/>
      <c r="I8" s="1380"/>
      <c r="J8" s="1380"/>
      <c r="K8" s="1404"/>
      <c r="L8" s="196"/>
      <c r="M8" s="642">
        <v>1</v>
      </c>
      <c r="N8" s="197" t="s">
        <v>876</v>
      </c>
      <c r="O8" s="642" t="s">
        <v>11</v>
      </c>
      <c r="P8" s="642" t="s">
        <v>73</v>
      </c>
      <c r="Q8" s="643" t="e">
        <f>'Prod_energy_best monthly'!E22</f>
        <v>#DIV/0!</v>
      </c>
      <c r="R8" s="643" t="e">
        <f>'Prod_energy_best monthly'!F22</f>
        <v>#DIV/0!</v>
      </c>
      <c r="S8" s="643" t="e">
        <f>'Prod_energy_best monthly'!G22</f>
        <v>#DIV/0!</v>
      </c>
      <c r="T8" s="644" t="e">
        <f>'Prod_energy_best monthly'!H22</f>
        <v>#DIV/0!</v>
      </c>
      <c r="U8" s="644" t="e">
        <f>'Prod_energy_best monthly'!I22</f>
        <v>#DIV/0!</v>
      </c>
      <c r="V8" s="645"/>
    </row>
    <row r="9" spans="1:26" s="526" customFormat="1" ht="56.25" customHeight="1">
      <c r="A9" s="171"/>
      <c r="B9" s="950">
        <v>2</v>
      </c>
      <c r="C9" s="198" t="s">
        <v>265</v>
      </c>
      <c r="D9" s="805"/>
      <c r="E9" s="805"/>
      <c r="F9" s="951"/>
      <c r="G9" s="199"/>
      <c r="H9" s="199"/>
      <c r="I9" s="199"/>
      <c r="J9" s="199"/>
      <c r="K9" s="200"/>
      <c r="L9" s="171"/>
      <c r="M9" s="646">
        <v>2</v>
      </c>
      <c r="N9" s="647" t="s">
        <v>89</v>
      </c>
      <c r="O9" s="646" t="s">
        <v>97</v>
      </c>
      <c r="P9" s="648" t="s">
        <v>992</v>
      </c>
      <c r="Q9" s="649" t="e">
        <f>AND(95&gt;Q8,Q8&gt;70)</f>
        <v>#DIV/0!</v>
      </c>
      <c r="R9" s="649" t="e">
        <f>AND(95&gt;R8,R8&gt;70)</f>
        <v>#DIV/0!</v>
      </c>
      <c r="S9" s="649" t="e">
        <f>AND(95&gt;S8,S8&gt;70)</f>
        <v>#DIV/0!</v>
      </c>
      <c r="T9" s="649" t="e">
        <f>AND(95&gt;T8,T8&gt;70)</f>
        <v>#DIV/0!</v>
      </c>
      <c r="U9" s="650" t="e">
        <f>AND(95&gt;U8,U8&gt;70)</f>
        <v>#DIV/0!</v>
      </c>
      <c r="V9" s="651"/>
      <c r="Y9" s="513"/>
      <c r="Z9" s="513"/>
    </row>
    <row r="10" spans="1:26" ht="48" customHeight="1">
      <c r="A10" s="64"/>
      <c r="B10" s="201">
        <v>2.1</v>
      </c>
      <c r="C10" s="1380" t="s">
        <v>656</v>
      </c>
      <c r="D10" s="1380"/>
      <c r="E10" s="1380"/>
      <c r="F10" s="1380"/>
      <c r="G10" s="1380"/>
      <c r="H10" s="1380"/>
      <c r="I10" s="1380"/>
      <c r="J10" s="1380"/>
      <c r="K10" s="1404"/>
      <c r="L10" s="64"/>
      <c r="M10" s="642">
        <v>3</v>
      </c>
      <c r="N10" s="197" t="s">
        <v>39</v>
      </c>
      <c r="O10" s="197" t="s">
        <v>877</v>
      </c>
      <c r="P10" s="645" t="s">
        <v>975</v>
      </c>
      <c r="Q10" s="652" t="e">
        <f>IF(Q8&gt;95,0,(95-Q8)*0.02)</f>
        <v>#DIV/0!</v>
      </c>
      <c r="R10" s="652" t="e">
        <f t="shared" ref="R10:U10" si="0">IF(R8&gt;95,0,(95-R8)*0.02)</f>
        <v>#DIV/0!</v>
      </c>
      <c r="S10" s="652" t="e">
        <f t="shared" si="0"/>
        <v>#DIV/0!</v>
      </c>
      <c r="T10" s="652" t="e">
        <f t="shared" si="0"/>
        <v>#DIV/0!</v>
      </c>
      <c r="U10" s="652" t="e">
        <f t="shared" si="0"/>
        <v>#DIV/0!</v>
      </c>
      <c r="V10" s="645"/>
    </row>
    <row r="11" spans="1:26" s="526" customFormat="1" ht="33" customHeight="1">
      <c r="A11" s="171"/>
      <c r="B11" s="201">
        <v>2.2000000000000002</v>
      </c>
      <c r="C11" s="202" t="s">
        <v>653</v>
      </c>
      <c r="D11" s="182"/>
      <c r="E11" s="182"/>
      <c r="F11" s="182"/>
      <c r="G11" s="199"/>
      <c r="H11" s="199"/>
      <c r="I11" s="199"/>
      <c r="J11" s="199"/>
      <c r="K11" s="200"/>
      <c r="L11" s="171"/>
      <c r="M11" s="174">
        <v>4</v>
      </c>
      <c r="N11" s="631" t="s">
        <v>70</v>
      </c>
      <c r="O11" s="197" t="s">
        <v>877</v>
      </c>
      <c r="P11" s="174" t="s">
        <v>73</v>
      </c>
      <c r="Q11" s="653" t="e">
        <f>'Prod_energy_best monthly'!E23</f>
        <v>#DIV/0!</v>
      </c>
      <c r="R11" s="653" t="e">
        <f>'Prod_energy_best monthly'!F23</f>
        <v>#DIV/0!</v>
      </c>
      <c r="S11" s="653" t="e">
        <f>'Prod_energy_best monthly'!G23</f>
        <v>#DIV/0!</v>
      </c>
      <c r="T11" s="653" t="e">
        <f>'Prod_energy_best monthly'!H23</f>
        <v>#DIV/0!</v>
      </c>
      <c r="U11" s="653" t="e">
        <f>'Prod_energy_best monthly'!I23</f>
        <v>#DIV/0!</v>
      </c>
      <c r="V11" s="631"/>
    </row>
    <row r="12" spans="1:26" s="526" customFormat="1" ht="45" customHeight="1">
      <c r="A12" s="171"/>
      <c r="B12" s="978" t="s">
        <v>657</v>
      </c>
      <c r="C12" s="1380" t="s">
        <v>664</v>
      </c>
      <c r="D12" s="1380"/>
      <c r="E12" s="1380"/>
      <c r="F12" s="1380"/>
      <c r="G12" s="1380"/>
      <c r="H12" s="1380"/>
      <c r="I12" s="1380"/>
      <c r="J12" s="1380"/>
      <c r="K12" s="1404"/>
      <c r="L12" s="171"/>
      <c r="M12" s="174">
        <v>5</v>
      </c>
      <c r="N12" s="654" t="s">
        <v>74</v>
      </c>
      <c r="O12" s="197" t="s">
        <v>877</v>
      </c>
      <c r="P12" s="174" t="s">
        <v>73</v>
      </c>
      <c r="Q12" s="417">
        <f>'Prod_energy_best monthly'!AI156</f>
        <v>5.7596106568791896</v>
      </c>
      <c r="R12" s="417">
        <f>'Prod_energy_best monthly'!AI113</f>
        <v>5.7900068915136123</v>
      </c>
      <c r="S12" s="417">
        <f>'Prod_energy_best monthly'!AI66</f>
        <v>5.7200293758851615</v>
      </c>
      <c r="T12" s="417">
        <f>'Prod_energy_best monthly'!V113</f>
        <v>5.6596207175717002</v>
      </c>
      <c r="U12" s="417">
        <f>'Prod_energy_best monthly'!V66</f>
        <v>5.704968201455868</v>
      </c>
      <c r="V12" s="631"/>
    </row>
    <row r="13" spans="1:26" s="526" customFormat="1" ht="30">
      <c r="A13" s="171"/>
      <c r="B13" s="979"/>
      <c r="C13" s="97" t="s">
        <v>665</v>
      </c>
      <c r="D13" s="199"/>
      <c r="E13" s="199"/>
      <c r="F13" s="199"/>
      <c r="G13" s="199"/>
      <c r="H13" s="199"/>
      <c r="I13" s="199"/>
      <c r="J13" s="199"/>
      <c r="K13" s="200"/>
      <c r="L13" s="171"/>
      <c r="M13" s="174">
        <v>6</v>
      </c>
      <c r="N13" s="654" t="s">
        <v>96</v>
      </c>
      <c r="O13" s="197" t="s">
        <v>877</v>
      </c>
      <c r="P13" s="174" t="s">
        <v>73</v>
      </c>
      <c r="Q13" s="417" t="e">
        <f>Q11-Q12</f>
        <v>#DIV/0!</v>
      </c>
      <c r="R13" s="417" t="e">
        <f t="shared" ref="R13:U13" si="1">R11-R12</f>
        <v>#DIV/0!</v>
      </c>
      <c r="S13" s="417" t="e">
        <f t="shared" si="1"/>
        <v>#DIV/0!</v>
      </c>
      <c r="T13" s="417" t="e">
        <f t="shared" si="1"/>
        <v>#DIV/0!</v>
      </c>
      <c r="U13" s="417" t="e">
        <f t="shared" si="1"/>
        <v>#DIV/0!</v>
      </c>
      <c r="V13" s="631"/>
    </row>
    <row r="14" spans="1:26" s="526" customFormat="1">
      <c r="A14" s="171"/>
      <c r="B14" s="979"/>
      <c r="C14" s="97"/>
      <c r="D14" s="199"/>
      <c r="E14" s="199"/>
      <c r="F14" s="199"/>
      <c r="G14" s="199"/>
      <c r="H14" s="199"/>
      <c r="I14" s="199"/>
      <c r="J14" s="199"/>
      <c r="K14" s="200"/>
      <c r="L14" s="171"/>
      <c r="M14" s="1112">
        <v>7</v>
      </c>
      <c r="N14" s="1113"/>
      <c r="O14" s="1114"/>
      <c r="P14" s="1112"/>
      <c r="Q14" s="1115"/>
      <c r="R14" s="1115"/>
      <c r="S14" s="1115"/>
      <c r="T14" s="1115"/>
      <c r="U14" s="1115"/>
      <c r="V14" s="657"/>
    </row>
    <row r="15" spans="1:26" s="526" customFormat="1" ht="45">
      <c r="A15" s="171"/>
      <c r="B15" s="979"/>
      <c r="C15" s="97"/>
      <c r="D15" s="199"/>
      <c r="E15" s="199"/>
      <c r="F15" s="199"/>
      <c r="G15" s="199"/>
      <c r="H15" s="199"/>
      <c r="I15" s="199"/>
      <c r="J15" s="199"/>
      <c r="K15" s="200"/>
      <c r="L15" s="171"/>
      <c r="M15" s="655">
        <v>8</v>
      </c>
      <c r="N15" s="633" t="s">
        <v>833</v>
      </c>
      <c r="O15" s="628" t="s">
        <v>834</v>
      </c>
      <c r="P15" s="655"/>
      <c r="Q15" s="658" t="e">
        <f>Q13*Q16</f>
        <v>#DIV/0!</v>
      </c>
      <c r="R15" s="658" t="e">
        <f>R13*R16</f>
        <v>#DIV/0!</v>
      </c>
      <c r="S15" s="658" t="e">
        <f>S13*S16</f>
        <v>#DIV/0!</v>
      </c>
      <c r="T15" s="658" t="e">
        <f>T13*T16</f>
        <v>#DIV/0!</v>
      </c>
      <c r="U15" s="658" t="e">
        <f>U13*U16</f>
        <v>#DIV/0!</v>
      </c>
      <c r="V15" s="657"/>
    </row>
    <row r="16" spans="1:26" s="526" customFormat="1">
      <c r="A16" s="171"/>
      <c r="B16" s="979"/>
      <c r="C16" s="97"/>
      <c r="D16" s="199"/>
      <c r="E16" s="199"/>
      <c r="F16" s="199"/>
      <c r="G16" s="199"/>
      <c r="H16" s="199"/>
      <c r="I16" s="199"/>
      <c r="J16" s="199"/>
      <c r="K16" s="200"/>
      <c r="L16" s="171"/>
      <c r="M16" s="655">
        <v>9</v>
      </c>
      <c r="N16" s="633" t="s">
        <v>101</v>
      </c>
      <c r="O16" s="628" t="s">
        <v>835</v>
      </c>
      <c r="P16" s="655"/>
      <c r="Q16" s="659">
        <f>'Prod_energy_best monthly'!E20</f>
        <v>0</v>
      </c>
      <c r="R16" s="659">
        <f>'Prod_energy_best monthly'!F20</f>
        <v>0</v>
      </c>
      <c r="S16" s="659">
        <f>'Prod_energy_best monthly'!G20</f>
        <v>0</v>
      </c>
      <c r="T16" s="659">
        <f>'Prod_energy_best monthly'!H20</f>
        <v>0</v>
      </c>
      <c r="U16" s="659">
        <f>'Prod_energy_best monthly'!I20</f>
        <v>0</v>
      </c>
      <c r="V16" s="657"/>
    </row>
    <row r="17" spans="1:34" s="526" customFormat="1" ht="30">
      <c r="A17" s="171"/>
      <c r="B17" s="979"/>
      <c r="C17" s="97"/>
      <c r="D17" s="199"/>
      <c r="E17" s="199"/>
      <c r="F17" s="199"/>
      <c r="G17" s="199"/>
      <c r="H17" s="199"/>
      <c r="I17" s="199"/>
      <c r="J17" s="199"/>
      <c r="K17" s="200"/>
      <c r="L17" s="171"/>
      <c r="M17" s="655">
        <v>10</v>
      </c>
      <c r="N17" s="633" t="s">
        <v>836</v>
      </c>
      <c r="O17" s="628" t="s">
        <v>40</v>
      </c>
      <c r="P17" s="655"/>
      <c r="Q17" s="656" t="e">
        <f>Q15/Q16</f>
        <v>#DIV/0!</v>
      </c>
      <c r="R17" s="656" t="e">
        <f t="shared" ref="R17:U17" si="2">R15/R16</f>
        <v>#DIV/0!</v>
      </c>
      <c r="S17" s="656" t="e">
        <f t="shared" si="2"/>
        <v>#DIV/0!</v>
      </c>
      <c r="T17" s="656" t="e">
        <f t="shared" si="2"/>
        <v>#DIV/0!</v>
      </c>
      <c r="U17" s="656" t="e">
        <f t="shared" si="2"/>
        <v>#DIV/0!</v>
      </c>
      <c r="V17" s="657"/>
    </row>
    <row r="18" spans="1:34" s="526" customFormat="1" ht="69" customHeight="1">
      <c r="A18" s="171"/>
      <c r="B18" s="201">
        <v>2.2999999999999998</v>
      </c>
      <c r="C18" s="1380" t="s">
        <v>658</v>
      </c>
      <c r="D18" s="1380"/>
      <c r="E18" s="1380"/>
      <c r="F18" s="1380"/>
      <c r="G18" s="1380"/>
      <c r="H18" s="1380"/>
      <c r="I18" s="1380"/>
      <c r="J18" s="1380"/>
      <c r="K18" s="1404"/>
      <c r="L18" s="171"/>
      <c r="M18" s="174">
        <v>11</v>
      </c>
      <c r="N18" s="259" t="s">
        <v>184</v>
      </c>
      <c r="O18" s="628" t="s">
        <v>40</v>
      </c>
      <c r="P18" s="635"/>
      <c r="Q18" s="637"/>
      <c r="R18" s="637"/>
      <c r="S18" s="637"/>
      <c r="T18" s="637"/>
      <c r="U18" s="637"/>
      <c r="V18" s="635"/>
    </row>
    <row r="19" spans="1:34" s="526" customFormat="1" ht="55.5" customHeight="1">
      <c r="A19" s="171"/>
      <c r="B19" s="201">
        <v>2.4</v>
      </c>
      <c r="C19" s="1405" t="s">
        <v>813</v>
      </c>
      <c r="D19" s="1405"/>
      <c r="E19" s="1405"/>
      <c r="F19" s="1405"/>
      <c r="G19" s="1405"/>
      <c r="H19" s="1405"/>
      <c r="I19" s="1405"/>
      <c r="J19" s="1405"/>
      <c r="K19" s="1406"/>
      <c r="L19" s="980"/>
      <c r="M19" s="636">
        <v>12</v>
      </c>
      <c r="N19" s="654" t="s">
        <v>976</v>
      </c>
      <c r="O19" s="628" t="s">
        <v>40</v>
      </c>
      <c r="P19" s="629"/>
      <c r="Q19" s="630" t="e">
        <f>Q17-Q18</f>
        <v>#DIV/0!</v>
      </c>
      <c r="R19" s="630" t="e">
        <f>R17-R18</f>
        <v>#DIV/0!</v>
      </c>
      <c r="S19" s="630" t="e">
        <f>S17-S18</f>
        <v>#DIV/0!</v>
      </c>
      <c r="T19" s="630" t="e">
        <f>T17-T18</f>
        <v>#DIV/0!</v>
      </c>
      <c r="U19" s="630" t="e">
        <f>U17-U18</f>
        <v>#DIV/0!</v>
      </c>
      <c r="V19" s="631"/>
    </row>
    <row r="20" spans="1:34" s="526" customFormat="1" ht="55.5" customHeight="1">
      <c r="A20" s="171"/>
      <c r="B20" s="201"/>
      <c r="C20" s="1312"/>
      <c r="D20" s="1312"/>
      <c r="E20" s="1312"/>
      <c r="F20" s="1312"/>
      <c r="G20" s="1312"/>
      <c r="H20" s="1312"/>
      <c r="I20" s="1312"/>
      <c r="J20" s="1312"/>
      <c r="K20" s="1313"/>
      <c r="L20" s="980"/>
      <c r="M20" s="636">
        <v>13</v>
      </c>
      <c r="N20" s="632" t="s">
        <v>844</v>
      </c>
      <c r="O20" s="628" t="s">
        <v>40</v>
      </c>
      <c r="P20" s="629"/>
      <c r="Q20" s="630" t="e">
        <f>MIN(Q10,Q19)</f>
        <v>#DIV/0!</v>
      </c>
      <c r="R20" s="630" t="e">
        <f t="shared" ref="R20:U20" si="3">MIN(R10,R19)</f>
        <v>#DIV/0!</v>
      </c>
      <c r="S20" s="630" t="e">
        <f t="shared" si="3"/>
        <v>#DIV/0!</v>
      </c>
      <c r="T20" s="630" t="e">
        <f t="shared" si="3"/>
        <v>#DIV/0!</v>
      </c>
      <c r="U20" s="630" t="e">
        <f t="shared" si="3"/>
        <v>#DIV/0!</v>
      </c>
      <c r="V20" s="631"/>
    </row>
    <row r="21" spans="1:34" s="526" customFormat="1" ht="49.5" customHeight="1">
      <c r="A21" s="171"/>
      <c r="B21" s="201">
        <v>2.5</v>
      </c>
      <c r="C21" s="1411" t="s">
        <v>659</v>
      </c>
      <c r="D21" s="1411"/>
      <c r="E21" s="1411"/>
      <c r="F21" s="1411"/>
      <c r="G21" s="1411"/>
      <c r="H21" s="1411"/>
      <c r="I21" s="1411"/>
      <c r="J21" s="1411"/>
      <c r="K21" s="1412"/>
      <c r="L21" s="171"/>
      <c r="M21" s="627">
        <v>14</v>
      </c>
      <c r="N21" s="632" t="s">
        <v>1032</v>
      </c>
      <c r="O21" s="633" t="s">
        <v>40</v>
      </c>
      <c r="P21" s="631"/>
      <c r="Q21" s="185"/>
      <c r="R21" s="185"/>
      <c r="S21" s="185"/>
      <c r="T21" s="185"/>
      <c r="U21" s="634" t="e">
        <f>U20-Q20</f>
        <v>#DIV/0!</v>
      </c>
      <c r="V21" s="631"/>
    </row>
    <row r="22" spans="1:34" ht="100.5" customHeight="1">
      <c r="A22" s="64"/>
      <c r="B22" s="201">
        <v>2.6</v>
      </c>
      <c r="C22" s="1380" t="s">
        <v>660</v>
      </c>
      <c r="D22" s="1380"/>
      <c r="E22" s="1380"/>
      <c r="F22" s="1380"/>
      <c r="G22" s="1380"/>
      <c r="H22" s="1380"/>
      <c r="I22" s="1380"/>
      <c r="J22" s="1380"/>
      <c r="K22" s="1404"/>
      <c r="L22" s="64"/>
      <c r="W22" s="573"/>
      <c r="X22" s="573"/>
      <c r="Y22" s="573"/>
      <c r="Z22" s="573"/>
      <c r="AA22" s="573"/>
    </row>
    <row r="23" spans="1:34" ht="30" customHeight="1">
      <c r="A23" s="64"/>
      <c r="B23" s="201">
        <v>2.7</v>
      </c>
      <c r="C23" s="1407" t="s">
        <v>661</v>
      </c>
      <c r="D23" s="1407"/>
      <c r="E23" s="1407"/>
      <c r="F23" s="1407"/>
      <c r="G23" s="1407"/>
      <c r="H23" s="1407"/>
      <c r="I23" s="1407"/>
      <c r="J23" s="1407"/>
      <c r="K23" s="1408"/>
      <c r="L23" s="64"/>
      <c r="M23" s="962"/>
      <c r="N23" s="981"/>
      <c r="O23" s="981"/>
      <c r="P23" s="573"/>
      <c r="Q23" s="573"/>
      <c r="R23" s="573"/>
      <c r="S23" s="573"/>
      <c r="T23" s="573"/>
      <c r="U23" s="573"/>
      <c r="V23" s="573"/>
      <c r="W23" s="573"/>
      <c r="X23" s="573"/>
      <c r="Y23" s="573"/>
      <c r="Z23" s="573"/>
    </row>
    <row r="24" spans="1:34" ht="16.5" customHeight="1">
      <c r="A24" s="64"/>
      <c r="B24" s="912"/>
      <c r="C24" s="182"/>
      <c r="D24" s="182"/>
      <c r="E24" s="182"/>
      <c r="F24" s="182"/>
      <c r="G24" s="182"/>
      <c r="H24" s="182"/>
      <c r="I24" s="182"/>
      <c r="J24" s="182"/>
      <c r="K24" s="195"/>
      <c r="L24" s="64"/>
      <c r="M24" s="962"/>
      <c r="N24" s="981"/>
      <c r="O24" s="981"/>
      <c r="P24" s="573"/>
      <c r="Q24" s="573"/>
      <c r="R24" s="573"/>
      <c r="S24" s="573"/>
      <c r="T24" s="573"/>
      <c r="U24" s="573"/>
      <c r="V24" s="573"/>
      <c r="W24" s="573"/>
      <c r="X24" s="573"/>
      <c r="Y24" s="573"/>
      <c r="Z24" s="573"/>
    </row>
    <row r="25" spans="1:34" s="526" customFormat="1" ht="30" customHeight="1">
      <c r="A25" s="171"/>
      <c r="B25" s="204">
        <v>3</v>
      </c>
      <c r="C25" s="198" t="s">
        <v>654</v>
      </c>
      <c r="D25" s="199"/>
      <c r="E25" s="199"/>
      <c r="F25" s="199"/>
      <c r="G25" s="199"/>
      <c r="H25" s="199"/>
      <c r="I25" s="199"/>
      <c r="J25" s="199"/>
      <c r="K25" s="200"/>
      <c r="L25" s="171"/>
      <c r="M25" s="982"/>
      <c r="N25" s="983"/>
      <c r="O25" s="983"/>
      <c r="P25" s="574"/>
      <c r="Q25" s="574"/>
      <c r="R25" s="574"/>
      <c r="S25" s="574"/>
      <c r="T25" s="574"/>
      <c r="U25" s="574"/>
      <c r="V25" s="574"/>
      <c r="W25" s="574"/>
      <c r="X25" s="574"/>
      <c r="Y25" s="574"/>
      <c r="Z25" s="574"/>
    </row>
    <row r="26" spans="1:34" ht="67.5" customHeight="1">
      <c r="A26" s="64"/>
      <c r="B26" s="201">
        <v>3.1</v>
      </c>
      <c r="C26" s="1409" t="s">
        <v>662</v>
      </c>
      <c r="D26" s="1409"/>
      <c r="E26" s="1409"/>
      <c r="F26" s="1409"/>
      <c r="G26" s="1409"/>
      <c r="H26" s="1409"/>
      <c r="I26" s="1409"/>
      <c r="J26" s="1409"/>
      <c r="K26" s="1410"/>
      <c r="L26" s="64"/>
      <c r="M26" s="962"/>
      <c r="N26" s="981"/>
      <c r="O26" s="981"/>
      <c r="P26" s="573"/>
      <c r="Q26" s="573"/>
      <c r="R26" s="573"/>
      <c r="S26" s="573"/>
      <c r="T26" s="573"/>
      <c r="U26" s="573"/>
      <c r="V26" s="573"/>
      <c r="W26" s="573"/>
      <c r="X26" s="573"/>
      <c r="Y26" s="573"/>
      <c r="Z26" s="573"/>
    </row>
    <row r="27" spans="1:34" ht="42.75" customHeight="1">
      <c r="A27" s="64"/>
      <c r="B27" s="201">
        <v>3.2</v>
      </c>
      <c r="C27" s="1411" t="s">
        <v>31</v>
      </c>
      <c r="D27" s="1411"/>
      <c r="E27" s="1411"/>
      <c r="F27" s="1411"/>
      <c r="G27" s="1411"/>
      <c r="H27" s="1411"/>
      <c r="I27" s="1411"/>
      <c r="J27" s="1411"/>
      <c r="K27" s="1412"/>
      <c r="L27" s="64"/>
      <c r="M27" s="969"/>
      <c r="N27" s="984"/>
      <c r="O27" s="985"/>
      <c r="P27" s="575"/>
      <c r="Q27" s="575"/>
      <c r="R27" s="573"/>
      <c r="S27" s="573"/>
      <c r="T27" s="573"/>
      <c r="U27" s="573"/>
      <c r="V27" s="573"/>
      <c r="W27" s="573"/>
      <c r="X27" s="573"/>
      <c r="Y27" s="573"/>
      <c r="Z27" s="573"/>
    </row>
    <row r="28" spans="1:34" ht="27" customHeight="1">
      <c r="A28" s="64"/>
      <c r="B28" s="201" t="s">
        <v>44</v>
      </c>
      <c r="C28" s="1380" t="s">
        <v>663</v>
      </c>
      <c r="D28" s="1380"/>
      <c r="E28" s="1380"/>
      <c r="F28" s="1380"/>
      <c r="G28" s="1380"/>
      <c r="H28" s="1380"/>
      <c r="I28" s="1380"/>
      <c r="J28" s="1380"/>
      <c r="K28" s="1404"/>
      <c r="L28" s="64"/>
      <c r="M28" s="962"/>
      <c r="N28" s="981"/>
      <c r="O28" s="981"/>
      <c r="P28" s="573"/>
      <c r="Q28" s="573"/>
      <c r="R28" s="573"/>
      <c r="S28" s="573"/>
      <c r="T28" s="573"/>
      <c r="U28" s="573"/>
      <c r="V28" s="573"/>
      <c r="W28" s="573"/>
      <c r="X28" s="573"/>
      <c r="Y28" s="573"/>
      <c r="Z28" s="573"/>
      <c r="AA28" s="573"/>
    </row>
    <row r="29" spans="1:34" s="520" customFormat="1" ht="53.25" customHeight="1">
      <c r="A29" s="196"/>
      <c r="B29" s="201" t="s">
        <v>45</v>
      </c>
      <c r="C29" s="1409" t="s">
        <v>814</v>
      </c>
      <c r="D29" s="1409"/>
      <c r="E29" s="1409"/>
      <c r="F29" s="1409"/>
      <c r="G29" s="1409"/>
      <c r="H29" s="1409"/>
      <c r="I29" s="1409"/>
      <c r="J29" s="1409"/>
      <c r="K29" s="1410"/>
      <c r="L29" s="196"/>
      <c r="M29" s="986"/>
      <c r="N29" s="987"/>
      <c r="O29" s="196"/>
      <c r="Q29" s="576"/>
      <c r="R29" s="576"/>
      <c r="S29" s="576"/>
      <c r="T29" s="576"/>
      <c r="U29" s="576"/>
      <c r="V29" s="576"/>
      <c r="W29" s="576"/>
      <c r="X29" s="576"/>
      <c r="Y29" s="576"/>
      <c r="Z29" s="576"/>
      <c r="AA29" s="576"/>
      <c r="AB29" s="576"/>
    </row>
    <row r="30" spans="1:34" ht="32.25" customHeight="1">
      <c r="A30" s="64"/>
      <c r="B30" s="201" t="s">
        <v>69</v>
      </c>
      <c r="C30" s="1407" t="s">
        <v>85</v>
      </c>
      <c r="D30" s="1407"/>
      <c r="E30" s="1407"/>
      <c r="F30" s="1407"/>
      <c r="G30" s="1407"/>
      <c r="H30" s="1407"/>
      <c r="I30" s="1407"/>
      <c r="J30" s="1407"/>
      <c r="K30" s="1408"/>
      <c r="L30" s="64"/>
      <c r="M30" s="962"/>
      <c r="N30" s="988"/>
      <c r="O30" s="64"/>
      <c r="Q30" s="573"/>
      <c r="R30" s="573"/>
      <c r="S30" s="573"/>
      <c r="T30" s="573"/>
      <c r="U30" s="573"/>
      <c r="V30" s="573"/>
      <c r="W30" s="573"/>
      <c r="X30" s="573"/>
      <c r="Y30" s="573"/>
      <c r="Z30" s="573"/>
      <c r="AA30" s="573"/>
      <c r="AB30" s="573"/>
    </row>
    <row r="31" spans="1:34" ht="15.75" thickBot="1">
      <c r="A31" s="64"/>
      <c r="B31" s="989"/>
      <c r="C31" s="205"/>
      <c r="D31" s="205"/>
      <c r="E31" s="205"/>
      <c r="F31" s="205"/>
      <c r="G31" s="205"/>
      <c r="H31" s="205"/>
      <c r="I31" s="205"/>
      <c r="J31" s="205"/>
      <c r="K31" s="206"/>
      <c r="L31" s="64"/>
      <c r="M31" s="962"/>
      <c r="N31" s="988"/>
      <c r="O31" s="981"/>
      <c r="P31" s="577"/>
      <c r="Q31" s="573"/>
      <c r="R31" s="573"/>
      <c r="S31" s="573"/>
      <c r="T31" s="573"/>
      <c r="U31" s="573"/>
      <c r="V31" s="573"/>
      <c r="W31" s="577"/>
      <c r="X31" s="573"/>
      <c r="Y31" s="573"/>
      <c r="AA31" s="573"/>
      <c r="AB31" s="573"/>
      <c r="AC31" s="573"/>
      <c r="AD31" s="573"/>
      <c r="AE31" s="573"/>
      <c r="AF31" s="573"/>
      <c r="AG31" s="573"/>
      <c r="AH31" s="573"/>
    </row>
    <row r="32" spans="1:34">
      <c r="B32" s="517"/>
      <c r="C32" s="517"/>
      <c r="D32" s="517"/>
      <c r="E32" s="517"/>
      <c r="F32" s="517"/>
      <c r="G32" s="517"/>
      <c r="H32" s="517"/>
      <c r="I32" s="517"/>
      <c r="J32" s="517"/>
      <c r="K32" s="517"/>
      <c r="N32" s="577"/>
      <c r="O32" s="573"/>
      <c r="P32" s="577"/>
      <c r="Q32" s="573"/>
      <c r="R32" s="573"/>
      <c r="S32" s="573"/>
      <c r="T32" s="573"/>
      <c r="U32" s="573"/>
      <c r="V32" s="573"/>
      <c r="W32" s="577"/>
      <c r="X32" s="573"/>
      <c r="Y32" s="573"/>
      <c r="AA32" s="573"/>
      <c r="AB32" s="573"/>
      <c r="AC32" s="573"/>
      <c r="AD32" s="573"/>
      <c r="AE32" s="573"/>
      <c r="AF32" s="573"/>
      <c r="AG32" s="573"/>
      <c r="AH32" s="573"/>
    </row>
    <row r="33" spans="2:34">
      <c r="B33" s="517"/>
      <c r="C33" s="517"/>
      <c r="D33" s="517"/>
      <c r="E33" s="517"/>
      <c r="F33" s="517"/>
      <c r="G33" s="517"/>
      <c r="H33" s="517"/>
      <c r="I33" s="517"/>
      <c r="J33" s="517"/>
      <c r="K33" s="517"/>
      <c r="N33" s="577"/>
      <c r="O33" s="573"/>
      <c r="P33" s="577"/>
      <c r="Q33" s="573"/>
      <c r="R33" s="573"/>
      <c r="S33" s="573"/>
      <c r="T33" s="573"/>
      <c r="U33" s="573"/>
      <c r="V33" s="573"/>
      <c r="W33" s="577"/>
      <c r="X33" s="573"/>
      <c r="Y33" s="573"/>
      <c r="AA33" s="573"/>
      <c r="AB33" s="573"/>
      <c r="AC33" s="573"/>
      <c r="AD33" s="573"/>
      <c r="AE33" s="573"/>
      <c r="AF33" s="573"/>
      <c r="AG33" s="573"/>
      <c r="AH33" s="573"/>
    </row>
    <row r="34" spans="2:34">
      <c r="B34" s="517"/>
      <c r="C34" s="517"/>
      <c r="D34" s="517"/>
      <c r="E34" s="517"/>
      <c r="F34" s="517"/>
      <c r="G34" s="517"/>
      <c r="H34" s="517"/>
      <c r="I34" s="517"/>
      <c r="J34" s="517"/>
      <c r="K34" s="517"/>
      <c r="N34" s="577"/>
      <c r="O34" s="573"/>
      <c r="P34" s="577"/>
      <c r="Q34" s="573"/>
      <c r="R34" s="573"/>
      <c r="S34" s="573"/>
      <c r="T34" s="573"/>
      <c r="U34" s="573"/>
      <c r="V34" s="573"/>
      <c r="W34" s="577"/>
      <c r="X34" s="573"/>
      <c r="Y34" s="573"/>
      <c r="AA34" s="573"/>
      <c r="AB34" s="573"/>
      <c r="AC34" s="573"/>
      <c r="AD34" s="573"/>
      <c r="AE34" s="573"/>
      <c r="AF34" s="573"/>
      <c r="AG34" s="573"/>
      <c r="AH34" s="573"/>
    </row>
    <row r="35" spans="2:34">
      <c r="B35" s="517"/>
      <c r="C35" s="517"/>
      <c r="D35" s="517"/>
      <c r="E35" s="517"/>
      <c r="F35" s="517"/>
      <c r="G35" s="517"/>
      <c r="H35" s="517"/>
      <c r="I35" s="517"/>
      <c r="J35" s="517"/>
      <c r="K35" s="517"/>
      <c r="N35" s="577"/>
      <c r="O35" s="573"/>
      <c r="P35" s="577"/>
      <c r="Q35" s="573"/>
      <c r="R35" s="573"/>
      <c r="S35" s="573"/>
      <c r="T35" s="573"/>
      <c r="U35" s="573"/>
      <c r="V35" s="573"/>
      <c r="W35" s="577"/>
      <c r="X35" s="573"/>
      <c r="Y35" s="573"/>
      <c r="AA35" s="573"/>
      <c r="AB35" s="573"/>
      <c r="AC35" s="573"/>
      <c r="AD35" s="573"/>
      <c r="AE35" s="573"/>
      <c r="AF35" s="573"/>
      <c r="AG35" s="573"/>
      <c r="AH35" s="573"/>
    </row>
    <row r="36" spans="2:34">
      <c r="B36" s="517"/>
      <c r="C36" s="517"/>
      <c r="D36" s="517"/>
      <c r="E36" s="517"/>
      <c r="F36" s="517"/>
      <c r="G36" s="517"/>
      <c r="H36" s="517"/>
      <c r="I36" s="517"/>
      <c r="J36" s="517"/>
      <c r="K36" s="517"/>
      <c r="N36" s="577"/>
      <c r="O36" s="573"/>
      <c r="P36" s="577"/>
      <c r="Q36" s="573"/>
      <c r="R36" s="573"/>
      <c r="S36" s="573"/>
      <c r="T36" s="573"/>
      <c r="U36" s="573"/>
      <c r="V36" s="573"/>
      <c r="W36" s="577"/>
      <c r="X36" s="573"/>
      <c r="Y36" s="573"/>
      <c r="AA36" s="573"/>
      <c r="AB36" s="573"/>
      <c r="AC36" s="573"/>
      <c r="AD36" s="573"/>
      <c r="AE36" s="573"/>
      <c r="AF36" s="573"/>
      <c r="AG36" s="573"/>
      <c r="AH36" s="573"/>
    </row>
    <row r="37" spans="2:34">
      <c r="B37" s="517"/>
      <c r="C37" s="517"/>
      <c r="D37" s="517"/>
      <c r="E37" s="517"/>
      <c r="F37" s="517"/>
      <c r="G37" s="517"/>
      <c r="H37" s="517"/>
      <c r="I37" s="517"/>
      <c r="J37" s="517"/>
      <c r="K37" s="517"/>
      <c r="N37" s="577"/>
      <c r="O37" s="573"/>
      <c r="P37" s="577"/>
      <c r="Q37" s="573"/>
      <c r="R37" s="573"/>
      <c r="S37" s="573"/>
      <c r="T37" s="573"/>
      <c r="U37" s="573"/>
      <c r="V37" s="573"/>
      <c r="W37" s="577"/>
      <c r="X37" s="573"/>
      <c r="Y37" s="573"/>
      <c r="AA37" s="573"/>
      <c r="AB37" s="573"/>
      <c r="AC37" s="573"/>
      <c r="AD37" s="573"/>
      <c r="AE37" s="573"/>
      <c r="AF37" s="573"/>
      <c r="AG37" s="573"/>
      <c r="AH37" s="573"/>
    </row>
    <row r="38" spans="2:34">
      <c r="B38" s="517"/>
      <c r="C38" s="517"/>
      <c r="D38" s="517"/>
      <c r="E38" s="517"/>
      <c r="F38" s="517"/>
      <c r="G38" s="517"/>
      <c r="H38" s="517"/>
      <c r="I38" s="517"/>
      <c r="J38" s="517"/>
      <c r="K38" s="517"/>
      <c r="N38" s="577"/>
      <c r="O38" s="573"/>
      <c r="P38" s="577"/>
      <c r="Q38" s="573"/>
      <c r="R38" s="573"/>
      <c r="S38" s="573"/>
      <c r="T38" s="573"/>
      <c r="U38" s="573"/>
      <c r="V38" s="573"/>
      <c r="W38" s="577"/>
      <c r="X38" s="573"/>
      <c r="Y38" s="573"/>
      <c r="AA38" s="573"/>
      <c r="AB38" s="573"/>
      <c r="AC38" s="573"/>
      <c r="AD38" s="573"/>
      <c r="AE38" s="573"/>
      <c r="AF38" s="573"/>
      <c r="AG38" s="573"/>
      <c r="AH38" s="573"/>
    </row>
    <row r="39" spans="2:34">
      <c r="B39" s="517"/>
      <c r="C39" s="517"/>
      <c r="D39" s="517"/>
      <c r="E39" s="517"/>
      <c r="F39" s="517"/>
      <c r="G39" s="517"/>
      <c r="H39" s="517"/>
      <c r="I39" s="517"/>
      <c r="J39" s="517"/>
      <c r="K39" s="517"/>
      <c r="N39" s="577"/>
      <c r="O39" s="573"/>
      <c r="P39" s="577"/>
      <c r="Q39" s="573"/>
      <c r="R39" s="573"/>
      <c r="S39" s="573"/>
      <c r="T39" s="573"/>
      <c r="U39" s="573"/>
      <c r="V39" s="573"/>
      <c r="W39" s="577"/>
      <c r="X39" s="573"/>
      <c r="Y39" s="573"/>
      <c r="AA39" s="573"/>
      <c r="AB39" s="573"/>
      <c r="AC39" s="573"/>
      <c r="AD39" s="573"/>
      <c r="AE39" s="573"/>
      <c r="AF39" s="573"/>
      <c r="AG39" s="573"/>
      <c r="AH39" s="573"/>
    </row>
    <row r="40" spans="2:34">
      <c r="B40" s="517"/>
      <c r="C40" s="517"/>
      <c r="D40" s="517"/>
      <c r="E40" s="517"/>
      <c r="F40" s="517"/>
      <c r="G40" s="517"/>
      <c r="H40" s="517"/>
      <c r="I40" s="517"/>
      <c r="J40" s="517"/>
      <c r="K40" s="517"/>
      <c r="N40" s="577"/>
      <c r="O40" s="573"/>
      <c r="P40" s="577"/>
      <c r="Q40" s="573"/>
      <c r="R40" s="573"/>
      <c r="S40" s="573"/>
      <c r="T40" s="573"/>
      <c r="U40" s="573"/>
      <c r="V40" s="573"/>
      <c r="W40" s="577"/>
      <c r="X40" s="573"/>
      <c r="Y40" s="573"/>
      <c r="AA40" s="573"/>
      <c r="AB40" s="573"/>
      <c r="AC40" s="573"/>
      <c r="AD40" s="573"/>
      <c r="AE40" s="573"/>
      <c r="AF40" s="573"/>
      <c r="AG40" s="573"/>
      <c r="AH40" s="573"/>
    </row>
    <row r="41" spans="2:34">
      <c r="B41" s="517"/>
      <c r="C41" s="517"/>
      <c r="D41" s="517"/>
      <c r="E41" s="517"/>
      <c r="F41" s="517"/>
      <c r="G41" s="517"/>
      <c r="H41" s="517"/>
      <c r="I41" s="517"/>
      <c r="J41" s="517"/>
      <c r="K41" s="517"/>
      <c r="O41" s="573"/>
      <c r="P41" s="577"/>
      <c r="Q41" s="573"/>
      <c r="R41" s="573"/>
      <c r="S41" s="573"/>
      <c r="T41" s="573"/>
      <c r="U41" s="573"/>
      <c r="V41" s="573"/>
      <c r="W41" s="577"/>
      <c r="X41" s="573"/>
      <c r="Y41" s="573"/>
      <c r="AA41" s="573"/>
      <c r="AB41" s="573"/>
      <c r="AC41" s="573"/>
      <c r="AD41" s="573"/>
      <c r="AE41" s="573"/>
      <c r="AF41" s="573"/>
      <c r="AG41" s="573"/>
      <c r="AH41" s="573"/>
    </row>
    <row r="42" spans="2:34" ht="15.75">
      <c r="B42" s="519"/>
      <c r="O42" s="573"/>
      <c r="P42" s="577"/>
      <c r="Q42" s="573"/>
      <c r="R42" s="573"/>
      <c r="S42" s="573"/>
      <c r="T42" s="573"/>
      <c r="U42" s="573"/>
      <c r="V42" s="573"/>
      <c r="W42" s="577"/>
      <c r="X42" s="573"/>
      <c r="Y42" s="573"/>
      <c r="AA42" s="573"/>
      <c r="AB42" s="573"/>
      <c r="AC42" s="573"/>
      <c r="AD42" s="573"/>
      <c r="AE42" s="573"/>
      <c r="AF42" s="573"/>
      <c r="AG42" s="573"/>
      <c r="AH42" s="573"/>
    </row>
    <row r="43" spans="2:34" ht="16.5" customHeight="1">
      <c r="B43" s="514"/>
      <c r="C43" s="514"/>
      <c r="D43" s="514"/>
      <c r="H43" s="514"/>
      <c r="M43" s="539"/>
    </row>
    <row r="44" spans="2:34" ht="15.75">
      <c r="B44" s="566"/>
      <c r="C44" s="514"/>
      <c r="M44" s="516"/>
    </row>
    <row r="45" spans="2:34" ht="15.75">
      <c r="B45" s="566"/>
      <c r="D45" s="514"/>
      <c r="F45" s="514"/>
      <c r="G45" s="514"/>
      <c r="H45" s="514"/>
      <c r="M45" s="516"/>
    </row>
    <row r="46" spans="2:34" ht="15.75">
      <c r="B46" s="527"/>
      <c r="C46" s="578"/>
      <c r="G46" s="514"/>
      <c r="M46" s="516"/>
    </row>
    <row r="47" spans="2:34" ht="15.75">
      <c r="C47" s="519"/>
      <c r="J47" s="514"/>
      <c r="M47" s="516"/>
    </row>
    <row r="48" spans="2:34" ht="15.75">
      <c r="B48" s="514"/>
      <c r="C48" s="514"/>
      <c r="K48" s="514"/>
      <c r="M48" s="516"/>
    </row>
    <row r="49" spans="2:13" ht="15.75">
      <c r="C49" s="579"/>
      <c r="D49" s="580"/>
      <c r="E49" s="580"/>
      <c r="M49" s="516"/>
    </row>
    <row r="50" spans="2:13" ht="15.75">
      <c r="B50" s="519"/>
      <c r="C50" s="579"/>
      <c r="M50" s="516"/>
    </row>
    <row r="51" spans="2:13" ht="15.75">
      <c r="C51" s="519"/>
      <c r="D51" s="519"/>
      <c r="E51" s="519"/>
      <c r="M51" s="516"/>
    </row>
    <row r="52" spans="2:13" ht="15.75">
      <c r="B52" s="519"/>
      <c r="M52" s="516"/>
    </row>
  </sheetData>
  <sheetProtection password="CC60" sheet="1" objects="1" scenarios="1"/>
  <customSheetViews>
    <customSheetView guid="{5D90FF31-AD5C-4A69-A320-8978B095DFD4}" topLeftCell="K1">
      <selection activeCell="K1" sqref="A1:XFD1048576"/>
      <pageMargins left="0.7" right="0.7" top="0.75" bottom="0.75" header="0.3" footer="0.3"/>
      <pageSetup orientation="portrait" verticalDpi="0" r:id="rId1"/>
    </customSheetView>
  </customSheetViews>
  <mergeCells count="14">
    <mergeCell ref="C22:K22"/>
    <mergeCell ref="C30:K30"/>
    <mergeCell ref="C12:K12"/>
    <mergeCell ref="C23:K23"/>
    <mergeCell ref="C26:K26"/>
    <mergeCell ref="C27:K27"/>
    <mergeCell ref="C28:K28"/>
    <mergeCell ref="C29:K29"/>
    <mergeCell ref="C21:K21"/>
    <mergeCell ref="C8:K8"/>
    <mergeCell ref="C10:K10"/>
    <mergeCell ref="C18:K18"/>
    <mergeCell ref="C19:K19"/>
    <mergeCell ref="R5:S5"/>
  </mergeCells>
  <dataValidations count="1">
    <dataValidation operator="greaterThanOrEqual" allowBlank="1" showInputMessage="1" showErrorMessage="1" error="Entor Positive values" sqref="T5"/>
  </dataValidations>
  <pageMargins left="0.7" right="0.7" top="0.75" bottom="0.75" header="0.3" footer="0.3"/>
  <pageSetup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W70"/>
  <sheetViews>
    <sheetView topLeftCell="F19" zoomScale="70" zoomScaleNormal="70" zoomScalePageLayoutView="71" workbookViewId="0">
      <selection activeCell="O5" sqref="O5:R6"/>
    </sheetView>
  </sheetViews>
  <sheetFormatPr defaultRowHeight="15"/>
  <cols>
    <col min="1" max="1" width="6" style="64" customWidth="1"/>
    <col min="2" max="2" width="9.140625" style="187"/>
    <col min="3" max="9" width="9.140625" style="64"/>
    <col min="10" max="10" width="5.28515625" style="64" customWidth="1"/>
    <col min="11" max="11" width="6.7109375" style="187" customWidth="1"/>
    <col min="12" max="12" width="40.28515625" style="64" customWidth="1"/>
    <col min="13" max="13" width="11.5703125" style="513" customWidth="1"/>
    <col min="14" max="15" width="15.7109375" style="513" customWidth="1"/>
    <col min="16" max="16" width="15.7109375" style="516" customWidth="1"/>
    <col min="17" max="17" width="15.7109375" style="513" customWidth="1"/>
    <col min="18" max="18" width="15.7109375" style="516" customWidth="1"/>
    <col min="19" max="19" width="20.140625" style="516" customWidth="1"/>
    <col min="20" max="20" width="5.140625" style="513" customWidth="1"/>
    <col min="21" max="21" width="9.140625" style="513"/>
    <col min="22" max="22" width="45.42578125" style="513" customWidth="1"/>
    <col min="23" max="23" width="9.140625" style="513"/>
    <col min="24" max="16384" width="9.140625" style="64"/>
  </cols>
  <sheetData>
    <row r="1" spans="2:23">
      <c r="U1" s="1234" t="s">
        <v>137</v>
      </c>
    </row>
    <row r="2" spans="2:23" ht="18.75">
      <c r="C2" s="942" t="s">
        <v>171</v>
      </c>
      <c r="D2" s="582"/>
      <c r="E2" s="582"/>
      <c r="F2" s="582"/>
      <c r="G2" s="582"/>
      <c r="H2" s="582"/>
      <c r="I2" s="582"/>
      <c r="J2" s="582"/>
      <c r="K2" s="943"/>
      <c r="L2" s="582"/>
      <c r="M2" s="541"/>
      <c r="N2" s="541"/>
      <c r="O2" s="541"/>
      <c r="U2" s="546" t="s">
        <v>71</v>
      </c>
    </row>
    <row r="3" spans="2:23" ht="15.75">
      <c r="K3" s="923"/>
      <c r="U3" s="1122" t="s">
        <v>38</v>
      </c>
    </row>
    <row r="4" spans="2:23" ht="16.5" thickBot="1">
      <c r="L4" s="913" t="s">
        <v>318</v>
      </c>
    </row>
    <row r="5" spans="2:23" s="208" customFormat="1" ht="86.25" customHeight="1">
      <c r="B5" s="944">
        <v>1</v>
      </c>
      <c r="C5" s="1417" t="s">
        <v>192</v>
      </c>
      <c r="D5" s="1417"/>
      <c r="E5" s="1417"/>
      <c r="F5" s="1417"/>
      <c r="G5" s="1417"/>
      <c r="H5" s="1417"/>
      <c r="I5" s="1418"/>
      <c r="K5" s="227" t="s">
        <v>0</v>
      </c>
      <c r="L5" s="227" t="s">
        <v>36</v>
      </c>
      <c r="M5" s="1215" t="s">
        <v>37</v>
      </c>
      <c r="N5" s="1215" t="s">
        <v>931</v>
      </c>
      <c r="O5" s="1377" t="s">
        <v>932</v>
      </c>
      <c r="P5" s="1378"/>
      <c r="Q5" s="1278" t="s">
        <v>1030</v>
      </c>
      <c r="R5" s="1279" t="s">
        <v>1031</v>
      </c>
      <c r="S5" s="1215" t="s">
        <v>25</v>
      </c>
      <c r="T5" s="1235"/>
      <c r="U5" s="1235"/>
      <c r="V5" s="1236" t="s">
        <v>150</v>
      </c>
      <c r="W5" s="1235"/>
    </row>
    <row r="6" spans="2:23" ht="21" customHeight="1">
      <c r="B6" s="945"/>
      <c r="C6" s="898" t="s">
        <v>310</v>
      </c>
      <c r="D6" s="182"/>
      <c r="E6" s="182"/>
      <c r="F6" s="182"/>
      <c r="G6" s="182"/>
      <c r="H6" s="182"/>
      <c r="I6" s="195"/>
      <c r="K6" s="946"/>
      <c r="L6" s="947"/>
      <c r="M6" s="1237"/>
      <c r="N6" s="1215" t="s">
        <v>43</v>
      </c>
      <c r="O6" s="227" t="s">
        <v>886</v>
      </c>
      <c r="P6" s="227" t="s">
        <v>887</v>
      </c>
      <c r="Q6" s="1310" t="s">
        <v>1025</v>
      </c>
      <c r="R6" s="1311" t="s">
        <v>1026</v>
      </c>
      <c r="S6" s="1238"/>
      <c r="V6" s="1239"/>
    </row>
    <row r="7" spans="2:23" ht="41.25" customHeight="1">
      <c r="B7" s="210"/>
      <c r="C7" s="1419" t="s">
        <v>670</v>
      </c>
      <c r="D7" s="1419"/>
      <c r="E7" s="1419"/>
      <c r="F7" s="1419"/>
      <c r="G7" s="1419"/>
      <c r="H7" s="1419"/>
      <c r="I7" s="1420"/>
      <c r="K7" s="948">
        <v>1</v>
      </c>
      <c r="L7" s="949" t="s">
        <v>114</v>
      </c>
      <c r="M7" s="555"/>
      <c r="N7" s="505"/>
      <c r="O7" s="556"/>
      <c r="P7" s="556"/>
      <c r="Q7" s="557"/>
      <c r="R7" s="558"/>
      <c r="S7" s="559"/>
      <c r="V7" s="1240" t="s">
        <v>119</v>
      </c>
    </row>
    <row r="8" spans="2:23" ht="31.5">
      <c r="B8" s="210"/>
      <c r="C8" s="1419" t="s">
        <v>671</v>
      </c>
      <c r="D8" s="1419"/>
      <c r="E8" s="1419"/>
      <c r="F8" s="1419"/>
      <c r="G8" s="1419"/>
      <c r="H8" s="1419"/>
      <c r="I8" s="1420"/>
      <c r="K8" s="948"/>
      <c r="L8" s="949" t="s">
        <v>115</v>
      </c>
      <c r="M8" s="555"/>
      <c r="N8" s="555"/>
      <c r="O8" s="555"/>
      <c r="P8" s="560"/>
      <c r="Q8" s="555"/>
      <c r="R8" s="560"/>
      <c r="S8" s="560"/>
      <c r="V8" s="1240" t="s">
        <v>120</v>
      </c>
    </row>
    <row r="9" spans="2:23" ht="44.25" customHeight="1">
      <c r="B9" s="950">
        <v>2</v>
      </c>
      <c r="C9" s="198" t="s">
        <v>265</v>
      </c>
      <c r="D9" s="805"/>
      <c r="E9" s="805"/>
      <c r="F9" s="951"/>
      <c r="G9" s="951"/>
      <c r="H9" s="951"/>
      <c r="I9" s="952"/>
      <c r="K9" s="953">
        <v>2</v>
      </c>
      <c r="L9" s="191" t="s">
        <v>817</v>
      </c>
      <c r="M9" s="555"/>
      <c r="N9" s="522"/>
      <c r="O9" s="522"/>
      <c r="P9" s="561"/>
      <c r="Q9" s="522"/>
      <c r="R9" s="561"/>
      <c r="S9" s="560"/>
      <c r="V9" s="1240" t="s">
        <v>121</v>
      </c>
    </row>
    <row r="10" spans="2:23" ht="40.5" customHeight="1">
      <c r="B10" s="201">
        <v>2.1</v>
      </c>
      <c r="C10" s="1405" t="s">
        <v>312</v>
      </c>
      <c r="D10" s="1405"/>
      <c r="E10" s="1405"/>
      <c r="F10" s="1405"/>
      <c r="G10" s="1405"/>
      <c r="H10" s="1405"/>
      <c r="I10" s="1406"/>
      <c r="K10" s="948">
        <v>3</v>
      </c>
      <c r="L10" s="949" t="s">
        <v>142</v>
      </c>
      <c r="M10" s="555"/>
      <c r="N10" s="555"/>
      <c r="O10" s="555"/>
      <c r="P10" s="560"/>
      <c r="Q10" s="555"/>
      <c r="R10" s="560"/>
      <c r="S10" s="560"/>
      <c r="V10" s="1240" t="s">
        <v>122</v>
      </c>
    </row>
    <row r="11" spans="2:23" ht="44.25" customHeight="1">
      <c r="B11" s="210"/>
      <c r="C11" s="202"/>
      <c r="D11" s="182"/>
      <c r="E11" s="182"/>
      <c r="F11" s="182"/>
      <c r="G11" s="182"/>
      <c r="H11" s="182"/>
      <c r="I11" s="195"/>
      <c r="K11" s="487" t="s">
        <v>44</v>
      </c>
      <c r="L11" s="191" t="s">
        <v>974</v>
      </c>
      <c r="M11" s="555"/>
      <c r="N11" s="522"/>
      <c r="O11" s="522"/>
      <c r="P11" s="561"/>
      <c r="Q11" s="522"/>
      <c r="R11" s="562"/>
      <c r="S11" s="560"/>
      <c r="V11" s="1240" t="s">
        <v>123</v>
      </c>
    </row>
    <row r="12" spans="2:23" s="196" customFormat="1" ht="84.75" customHeight="1">
      <c r="B12" s="201">
        <v>2.2000000000000002</v>
      </c>
      <c r="C12" s="1405" t="s">
        <v>313</v>
      </c>
      <c r="D12" s="1405"/>
      <c r="E12" s="1405"/>
      <c r="F12" s="1405"/>
      <c r="G12" s="1405"/>
      <c r="H12" s="1405"/>
      <c r="I12" s="1406"/>
      <c r="K12" s="211" t="s">
        <v>45</v>
      </c>
      <c r="L12" s="212" t="s">
        <v>138</v>
      </c>
      <c r="M12" s="1241"/>
      <c r="N12" s="564"/>
      <c r="O12" s="564"/>
      <c r="P12" s="565"/>
      <c r="Q12" s="564"/>
      <c r="R12" s="565"/>
      <c r="S12" s="563"/>
      <c r="T12" s="520"/>
      <c r="U12" s="520"/>
      <c r="V12" s="1240" t="s">
        <v>124</v>
      </c>
      <c r="W12" s="520"/>
    </row>
    <row r="13" spans="2:23" s="196" customFormat="1" ht="35.25" customHeight="1">
      <c r="B13" s="213"/>
      <c r="C13" s="919"/>
      <c r="D13" s="954"/>
      <c r="E13" s="182"/>
      <c r="F13" s="182"/>
      <c r="G13" s="182"/>
      <c r="H13" s="182"/>
      <c r="I13" s="195"/>
      <c r="K13" s="211" t="s">
        <v>69</v>
      </c>
      <c r="L13" s="212" t="s">
        <v>139</v>
      </c>
      <c r="M13" s="1241"/>
      <c r="N13" s="564"/>
      <c r="O13" s="564"/>
      <c r="P13" s="565"/>
      <c r="Q13" s="564"/>
      <c r="R13" s="565"/>
      <c r="S13" s="563"/>
      <c r="T13" s="520"/>
      <c r="U13" s="520"/>
      <c r="V13" s="1240" t="s">
        <v>125</v>
      </c>
      <c r="W13" s="520"/>
    </row>
    <row r="14" spans="2:23" s="196" customFormat="1" ht="42.75" customHeight="1">
      <c r="B14" s="201">
        <v>2.2999999999999998</v>
      </c>
      <c r="C14" s="1405" t="s">
        <v>314</v>
      </c>
      <c r="D14" s="1405"/>
      <c r="E14" s="1405"/>
      <c r="F14" s="1405"/>
      <c r="G14" s="1405"/>
      <c r="H14" s="1405"/>
      <c r="I14" s="1406"/>
      <c r="K14" s="211" t="s">
        <v>116</v>
      </c>
      <c r="L14" s="212" t="s">
        <v>140</v>
      </c>
      <c r="M14" s="1241"/>
      <c r="N14" s="564"/>
      <c r="O14" s="564"/>
      <c r="P14" s="565"/>
      <c r="Q14" s="564"/>
      <c r="R14" s="565"/>
      <c r="S14" s="563"/>
      <c r="T14" s="520"/>
      <c r="U14" s="520"/>
      <c r="V14" s="1240" t="s">
        <v>126</v>
      </c>
      <c r="W14" s="520"/>
    </row>
    <row r="15" spans="2:23" s="196" customFormat="1" ht="53.25" customHeight="1">
      <c r="B15" s="203"/>
      <c r="C15" s="202"/>
      <c r="D15" s="182"/>
      <c r="E15" s="182"/>
      <c r="F15" s="182"/>
      <c r="G15" s="182"/>
      <c r="H15" s="182"/>
      <c r="I15" s="195"/>
      <c r="K15" s="211" t="s">
        <v>117</v>
      </c>
      <c r="L15" s="212" t="s">
        <v>141</v>
      </c>
      <c r="M15" s="1241"/>
      <c r="N15" s="564"/>
      <c r="O15" s="564"/>
      <c r="P15" s="565"/>
      <c r="Q15" s="564"/>
      <c r="R15" s="565"/>
      <c r="S15" s="563"/>
      <c r="T15" s="520"/>
      <c r="U15" s="520"/>
      <c r="V15" s="1240" t="s">
        <v>136</v>
      </c>
      <c r="W15" s="520"/>
    </row>
    <row r="16" spans="2:23" s="196" customFormat="1" ht="36.75" customHeight="1">
      <c r="B16" s="204">
        <v>3</v>
      </c>
      <c r="C16" s="198" t="s">
        <v>311</v>
      </c>
      <c r="D16" s="182"/>
      <c r="E16" s="182"/>
      <c r="F16" s="182"/>
      <c r="G16" s="182"/>
      <c r="H16" s="182"/>
      <c r="I16" s="214"/>
      <c r="K16" s="211">
        <v>4</v>
      </c>
      <c r="L16" s="212" t="s">
        <v>816</v>
      </c>
      <c r="M16" s="1241" t="s">
        <v>40</v>
      </c>
      <c r="N16" s="1221">
        <f>N7*0.03</f>
        <v>0</v>
      </c>
      <c r="O16" s="1242">
        <f t="shared" ref="O16:Q16" si="0">O7*0.03</f>
        <v>0</v>
      </c>
      <c r="P16" s="1221">
        <f t="shared" si="0"/>
        <v>0</v>
      </c>
      <c r="Q16" s="1221">
        <f t="shared" si="0"/>
        <v>0</v>
      </c>
      <c r="R16" s="1221">
        <f>R7*0.03</f>
        <v>0</v>
      </c>
      <c r="S16" s="1243"/>
      <c r="T16" s="520"/>
      <c r="U16" s="520"/>
      <c r="V16" s="1240" t="s">
        <v>127</v>
      </c>
      <c r="W16" s="520"/>
    </row>
    <row r="17" spans="2:23" s="196" customFormat="1" ht="38.25" customHeight="1">
      <c r="B17" s="213"/>
      <c r="C17" s="1409" t="s">
        <v>315</v>
      </c>
      <c r="D17" s="1409"/>
      <c r="E17" s="1409"/>
      <c r="F17" s="1409"/>
      <c r="G17" s="1409"/>
      <c r="H17" s="1409"/>
      <c r="I17" s="1410"/>
      <c r="K17" s="209">
        <v>5</v>
      </c>
      <c r="L17" s="215" t="s">
        <v>151</v>
      </c>
      <c r="M17" s="1241"/>
      <c r="N17" s="1241"/>
      <c r="O17" s="1241"/>
      <c r="P17" s="563"/>
      <c r="Q17" s="1241"/>
      <c r="R17" s="1244"/>
      <c r="S17" s="1244"/>
      <c r="T17" s="520"/>
      <c r="U17" s="520"/>
      <c r="V17" s="1245" t="s">
        <v>128</v>
      </c>
      <c r="W17" s="520"/>
    </row>
    <row r="18" spans="2:23" s="208" customFormat="1" ht="68.25" customHeight="1">
      <c r="B18" s="203">
        <v>3.1</v>
      </c>
      <c r="C18" s="1415" t="s">
        <v>674</v>
      </c>
      <c r="D18" s="1415"/>
      <c r="E18" s="1415"/>
      <c r="F18" s="1415"/>
      <c r="G18" s="1415"/>
      <c r="H18" s="1415"/>
      <c r="I18" s="1416"/>
      <c r="K18" s="62">
        <v>5.0999999999999996</v>
      </c>
      <c r="L18" s="216" t="s">
        <v>144</v>
      </c>
      <c r="M18" s="563"/>
      <c r="N18" s="958"/>
      <c r="O18" s="958"/>
      <c r="P18" s="958"/>
      <c r="Q18" s="958"/>
      <c r="R18" s="958"/>
      <c r="S18" s="1102"/>
      <c r="T18" s="1235"/>
      <c r="U18" s="1235"/>
      <c r="V18" s="1245" t="s">
        <v>129</v>
      </c>
      <c r="W18" s="1235"/>
    </row>
    <row r="19" spans="2:23" s="187" customFormat="1" ht="31.5">
      <c r="B19" s="210"/>
      <c r="C19" s="202"/>
      <c r="D19" s="182"/>
      <c r="E19" s="182"/>
      <c r="F19" s="182"/>
      <c r="G19" s="182"/>
      <c r="H19" s="182"/>
      <c r="I19" s="195"/>
      <c r="K19" s="487">
        <v>5.2</v>
      </c>
      <c r="L19" s="217" t="s">
        <v>143</v>
      </c>
      <c r="M19" s="560" t="s">
        <v>40</v>
      </c>
      <c r="N19" s="959"/>
      <c r="O19" s="959"/>
      <c r="P19" s="960"/>
      <c r="Q19" s="960"/>
      <c r="R19" s="961"/>
      <c r="S19" s="1103"/>
      <c r="T19" s="516"/>
      <c r="U19" s="516"/>
      <c r="V19" s="1240" t="s">
        <v>130</v>
      </c>
      <c r="W19" s="516"/>
    </row>
    <row r="20" spans="2:23" s="187" customFormat="1" ht="31.5">
      <c r="B20" s="201" t="s">
        <v>27</v>
      </c>
      <c r="C20" s="1413" t="s">
        <v>316</v>
      </c>
      <c r="D20" s="1413"/>
      <c r="E20" s="1413"/>
      <c r="F20" s="1413"/>
      <c r="G20" s="1413"/>
      <c r="H20" s="1413"/>
      <c r="I20" s="1414"/>
      <c r="K20" s="487">
        <v>5.3</v>
      </c>
      <c r="L20" s="217" t="s">
        <v>118</v>
      </c>
      <c r="M20" s="560" t="s">
        <v>40</v>
      </c>
      <c r="N20" s="1246">
        <f>'Prod_energy_best monthly'!AI156</f>
        <v>5.7596106568791896</v>
      </c>
      <c r="O20" s="1246">
        <f>'Prod_energy_best monthly'!AI113</f>
        <v>5.7900068915136123</v>
      </c>
      <c r="P20" s="1246">
        <f>'Prod_energy_best monthly'!AI66</f>
        <v>5.7200293758851615</v>
      </c>
      <c r="Q20" s="1246">
        <f>'Prod_energy_best monthly'!V113</f>
        <v>5.6596207175717002</v>
      </c>
      <c r="R20" s="1246">
        <f>'Prod_energy_best monthly'!V66</f>
        <v>5.704968201455868</v>
      </c>
      <c r="S20" s="1103"/>
      <c r="T20" s="516"/>
      <c r="U20" s="516"/>
      <c r="V20" s="1240" t="s">
        <v>131</v>
      </c>
      <c r="W20" s="516"/>
    </row>
    <row r="21" spans="2:23" ht="33" customHeight="1">
      <c r="B21" s="210"/>
      <c r="C21" s="1081"/>
      <c r="D21" s="1081"/>
      <c r="E21" s="1081"/>
      <c r="F21" s="1081"/>
      <c r="G21" s="1081"/>
      <c r="H21" s="182"/>
      <c r="I21" s="195"/>
      <c r="K21" s="487">
        <v>5.4</v>
      </c>
      <c r="L21" s="191" t="s">
        <v>673</v>
      </c>
      <c r="M21" s="555" t="s">
        <v>40</v>
      </c>
      <c r="N21" s="1246">
        <f>N19-N20</f>
        <v>-5.7596106568791896</v>
      </c>
      <c r="O21" s="1246">
        <f>O19-O20</f>
        <v>-5.7900068915136123</v>
      </c>
      <c r="P21" s="1246">
        <f t="shared" ref="P21:Q21" si="1">P19-P20</f>
        <v>-5.7200293758851615</v>
      </c>
      <c r="Q21" s="1246">
        <f t="shared" si="1"/>
        <v>-5.6596207175717002</v>
      </c>
      <c r="R21" s="1247">
        <f>R19-R20</f>
        <v>-5.704968201455868</v>
      </c>
      <c r="S21" s="1103"/>
      <c r="V21" s="1240" t="s">
        <v>132</v>
      </c>
    </row>
    <row r="22" spans="2:23" ht="33" customHeight="1">
      <c r="B22" s="201" t="s">
        <v>29</v>
      </c>
      <c r="C22" s="1409" t="s">
        <v>319</v>
      </c>
      <c r="D22" s="1409"/>
      <c r="E22" s="1409"/>
      <c r="F22" s="1409"/>
      <c r="G22" s="1409"/>
      <c r="H22" s="1409"/>
      <c r="I22" s="1410"/>
      <c r="K22" s="487">
        <v>5.5</v>
      </c>
      <c r="L22" s="191" t="s">
        <v>145</v>
      </c>
      <c r="M22" s="555" t="s">
        <v>10</v>
      </c>
      <c r="N22" s="1110"/>
      <c r="O22" s="1110"/>
      <c r="P22" s="956"/>
      <c r="Q22" s="1110"/>
      <c r="R22" s="1111"/>
      <c r="S22" s="1103"/>
      <c r="V22" s="1240" t="s">
        <v>133</v>
      </c>
    </row>
    <row r="23" spans="2:23" s="171" customFormat="1" ht="36.75" customHeight="1">
      <c r="B23" s="201"/>
      <c r="C23" s="202"/>
      <c r="D23" s="202"/>
      <c r="E23" s="202"/>
      <c r="F23" s="202"/>
      <c r="G23" s="202"/>
      <c r="H23" s="199"/>
      <c r="I23" s="200"/>
      <c r="K23" s="487">
        <v>5.6</v>
      </c>
      <c r="L23" s="212" t="s">
        <v>146</v>
      </c>
      <c r="M23" s="555" t="s">
        <v>147</v>
      </c>
      <c r="N23" s="1248">
        <f>N21*N22</f>
        <v>0</v>
      </c>
      <c r="O23" s="1248">
        <f>O21*O22</f>
        <v>0</v>
      </c>
      <c r="P23" s="1248">
        <f t="shared" ref="P23:Q23" si="2">P21*P22</f>
        <v>0</v>
      </c>
      <c r="Q23" s="1248">
        <f t="shared" si="2"/>
        <v>0</v>
      </c>
      <c r="R23" s="1249">
        <f>R21*R22</f>
        <v>0</v>
      </c>
      <c r="S23" s="1103"/>
      <c r="T23" s="526"/>
      <c r="U23" s="526"/>
      <c r="V23" s="1240" t="s">
        <v>134</v>
      </c>
      <c r="W23" s="526"/>
    </row>
    <row r="24" spans="2:23" s="171" customFormat="1" ht="51" customHeight="1" thickBot="1">
      <c r="B24" s="201" t="s">
        <v>207</v>
      </c>
      <c r="C24" s="1409" t="s">
        <v>815</v>
      </c>
      <c r="D24" s="1409"/>
      <c r="E24" s="1409"/>
      <c r="F24" s="1409"/>
      <c r="G24" s="1409"/>
      <c r="H24" s="1409"/>
      <c r="I24" s="1410"/>
      <c r="K24" s="487">
        <v>5.7</v>
      </c>
      <c r="L24" s="191" t="s">
        <v>148</v>
      </c>
      <c r="M24" s="555" t="s">
        <v>10</v>
      </c>
      <c r="N24" s="1248">
        <f>'Prod_energy_best monthly'!E20</f>
        <v>0</v>
      </c>
      <c r="O24" s="1248">
        <f>'Prod_energy_best monthly'!F20</f>
        <v>0</v>
      </c>
      <c r="P24" s="1248">
        <f>'Prod_energy_best monthly'!G20</f>
        <v>0</v>
      </c>
      <c r="Q24" s="1248">
        <f>'Prod_energy_best monthly'!H20</f>
        <v>0</v>
      </c>
      <c r="R24" s="1249">
        <f>'Prod_energy_best monthly'!I20</f>
        <v>0</v>
      </c>
      <c r="S24" s="1103"/>
      <c r="T24" s="526"/>
      <c r="U24" s="526"/>
      <c r="V24" s="1250" t="s">
        <v>135</v>
      </c>
      <c r="W24" s="526"/>
    </row>
    <row r="25" spans="2:23" s="171" customFormat="1" ht="36" customHeight="1">
      <c r="B25" s="201"/>
      <c r="C25" s="1081"/>
      <c r="D25" s="1081"/>
      <c r="E25" s="1081"/>
      <c r="F25" s="1081"/>
      <c r="G25" s="1081"/>
      <c r="H25" s="199"/>
      <c r="I25" s="200"/>
      <c r="K25" s="487">
        <v>5.8</v>
      </c>
      <c r="L25" s="191" t="s">
        <v>317</v>
      </c>
      <c r="M25" s="555" t="s">
        <v>40</v>
      </c>
      <c r="N25" s="1246" t="e">
        <f>N23/N24</f>
        <v>#DIV/0!</v>
      </c>
      <c r="O25" s="1246" t="e">
        <f>O23/O24</f>
        <v>#DIV/0!</v>
      </c>
      <c r="P25" s="1246">
        <v>0</v>
      </c>
      <c r="Q25" s="1246">
        <v>0</v>
      </c>
      <c r="R25" s="1247" t="e">
        <f>(R23/R24)*R7</f>
        <v>#DIV/0!</v>
      </c>
      <c r="S25" s="1103"/>
      <c r="T25" s="526"/>
      <c r="U25" s="526"/>
      <c r="V25" s="526"/>
      <c r="W25" s="526"/>
    </row>
    <row r="26" spans="2:23" s="171" customFormat="1" ht="29.25" customHeight="1">
      <c r="B26" s="201"/>
      <c r="C26" s="1415"/>
      <c r="D26" s="1415"/>
      <c r="E26" s="1415"/>
      <c r="F26" s="1415"/>
      <c r="G26" s="1415"/>
      <c r="H26" s="1415"/>
      <c r="I26" s="1416"/>
      <c r="K26" s="551"/>
      <c r="L26" s="238"/>
      <c r="M26" s="531"/>
      <c r="N26" s="1251"/>
      <c r="O26" s="1251"/>
      <c r="P26" s="1251"/>
      <c r="Q26" s="1251"/>
      <c r="R26" s="1252"/>
      <c r="S26" s="1253"/>
      <c r="T26" s="526"/>
      <c r="U26" s="526"/>
      <c r="V26" s="526"/>
      <c r="W26" s="526"/>
    </row>
    <row r="27" spans="2:23" s="171" customFormat="1" ht="51" customHeight="1">
      <c r="B27" s="201"/>
      <c r="C27" s="1079"/>
      <c r="D27" s="1079"/>
      <c r="E27" s="1079"/>
      <c r="F27" s="1079"/>
      <c r="G27" s="1079"/>
      <c r="H27" s="1079"/>
      <c r="I27" s="1080"/>
      <c r="K27" s="553">
        <v>5.9</v>
      </c>
      <c r="L27" s="554" t="s">
        <v>184</v>
      </c>
      <c r="M27" s="1254" t="s">
        <v>40</v>
      </c>
      <c r="N27" s="956"/>
      <c r="O27" s="956"/>
      <c r="P27" s="956"/>
      <c r="Q27" s="956"/>
      <c r="R27" s="957"/>
      <c r="S27" s="1255"/>
      <c r="T27" s="526"/>
      <c r="U27" s="526"/>
      <c r="V27" s="526"/>
      <c r="W27" s="526"/>
    </row>
    <row r="28" spans="2:23" s="171" customFormat="1" ht="41.25" customHeight="1">
      <c r="B28" s="201"/>
      <c r="C28" s="1081"/>
      <c r="D28" s="1081"/>
      <c r="E28" s="1081"/>
      <c r="F28" s="1081"/>
      <c r="G28" s="1081"/>
      <c r="H28" s="199"/>
      <c r="I28" s="200"/>
      <c r="K28" s="220">
        <v>5.0999999999999996</v>
      </c>
      <c r="L28" s="139" t="s">
        <v>149</v>
      </c>
      <c r="M28" s="555" t="s">
        <v>40</v>
      </c>
      <c r="N28" s="1247" t="e">
        <f t="shared" ref="N28:Q28" si="3">N25-N27</f>
        <v>#DIV/0!</v>
      </c>
      <c r="O28" s="1247" t="e">
        <f t="shared" si="3"/>
        <v>#DIV/0!</v>
      </c>
      <c r="P28" s="1247">
        <f t="shared" si="3"/>
        <v>0</v>
      </c>
      <c r="Q28" s="1247">
        <f t="shared" si="3"/>
        <v>0</v>
      </c>
      <c r="R28" s="1247" t="e">
        <f>R25-R27</f>
        <v>#DIV/0!</v>
      </c>
      <c r="S28" s="1104"/>
      <c r="T28" s="526"/>
      <c r="U28" s="526"/>
      <c r="V28" s="526"/>
      <c r="W28" s="526"/>
    </row>
    <row r="29" spans="2:23" s="171" customFormat="1" ht="41.25" customHeight="1">
      <c r="B29" s="201"/>
      <c r="C29" s="1081"/>
      <c r="D29" s="1081"/>
      <c r="E29" s="1081"/>
      <c r="F29" s="1081"/>
      <c r="G29" s="1081"/>
      <c r="H29" s="199"/>
      <c r="I29" s="200"/>
      <c r="K29" s="220">
        <v>5.1100000000000003</v>
      </c>
      <c r="L29" s="135" t="s">
        <v>1014</v>
      </c>
      <c r="M29" s="555" t="s">
        <v>40</v>
      </c>
      <c r="N29" s="1256" t="e">
        <f>MIN(N16,N28)</f>
        <v>#DIV/0!</v>
      </c>
      <c r="O29" s="1256" t="e">
        <f t="shared" ref="O29:R29" si="4">MIN(O16,O28)</f>
        <v>#DIV/0!</v>
      </c>
      <c r="P29" s="1256">
        <f t="shared" si="4"/>
        <v>0</v>
      </c>
      <c r="Q29" s="1256">
        <f t="shared" si="4"/>
        <v>0</v>
      </c>
      <c r="R29" s="1256" t="e">
        <f t="shared" si="4"/>
        <v>#DIV/0!</v>
      </c>
      <c r="S29" s="1257"/>
      <c r="T29" s="526"/>
      <c r="U29" s="526"/>
      <c r="V29" s="526"/>
      <c r="W29" s="526"/>
    </row>
    <row r="30" spans="2:23" s="171" customFormat="1" ht="49.5" customHeight="1" thickBot="1">
      <c r="B30" s="221"/>
      <c r="C30" s="222"/>
      <c r="D30" s="222"/>
      <c r="E30" s="222"/>
      <c r="F30" s="222"/>
      <c r="G30" s="222"/>
      <c r="H30" s="222"/>
      <c r="I30" s="223"/>
      <c r="K30" s="487">
        <v>6</v>
      </c>
      <c r="L30" s="224" t="s">
        <v>841</v>
      </c>
      <c r="M30" s="555" t="s">
        <v>40</v>
      </c>
      <c r="N30" s="1258"/>
      <c r="O30" s="1258"/>
      <c r="P30" s="1258"/>
      <c r="Q30" s="1258"/>
      <c r="R30" s="1259" t="e">
        <f>R29-N29</f>
        <v>#DIV/0!</v>
      </c>
      <c r="S30" s="1104"/>
      <c r="T30" s="526"/>
      <c r="U30" s="526"/>
      <c r="V30" s="526"/>
      <c r="W30" s="526"/>
    </row>
    <row r="31" spans="2:23">
      <c r="B31" s="96"/>
      <c r="C31" s="182"/>
      <c r="D31" s="182"/>
      <c r="E31" s="182"/>
      <c r="F31" s="182"/>
      <c r="G31" s="182"/>
      <c r="H31" s="182"/>
      <c r="I31" s="182"/>
    </row>
    <row r="32" spans="2:23">
      <c r="B32" s="96"/>
      <c r="C32" s="182"/>
      <c r="D32" s="182"/>
      <c r="E32" s="182"/>
      <c r="F32" s="182"/>
      <c r="G32" s="182"/>
      <c r="H32" s="182"/>
      <c r="I32" s="182"/>
    </row>
    <row r="33" spans="2:19" ht="15.75">
      <c r="B33" s="96"/>
      <c r="C33" s="1105"/>
      <c r="D33" s="1106"/>
      <c r="E33" s="1106"/>
      <c r="F33" s="1106"/>
      <c r="G33" s="1106"/>
      <c r="H33" s="1106"/>
      <c r="I33" s="1106"/>
      <c r="K33" s="64"/>
      <c r="P33" s="513"/>
      <c r="R33" s="513"/>
      <c r="S33" s="513"/>
    </row>
    <row r="34" spans="2:19" ht="15.75">
      <c r="B34" s="96"/>
      <c r="C34" s="207" t="s">
        <v>672</v>
      </c>
      <c r="K34" s="64"/>
      <c r="P34" s="513"/>
      <c r="R34" s="513"/>
      <c r="S34" s="513"/>
    </row>
    <row r="35" spans="2:19">
      <c r="B35" s="96"/>
      <c r="D35" s="1106"/>
      <c r="E35" s="1106"/>
      <c r="G35" s="1106"/>
      <c r="H35" s="1106"/>
      <c r="I35" s="1106"/>
      <c r="K35" s="64"/>
      <c r="P35" s="513"/>
      <c r="R35" s="513"/>
      <c r="S35" s="513"/>
    </row>
    <row r="36" spans="2:19" ht="15.75">
      <c r="B36" s="96"/>
      <c r="C36" s="1105"/>
      <c r="D36" s="1107"/>
      <c r="E36" s="1106"/>
      <c r="F36" s="1106"/>
      <c r="G36" s="1106"/>
      <c r="H36" s="1106"/>
      <c r="I36" s="1106"/>
      <c r="K36" s="64"/>
      <c r="P36" s="513"/>
      <c r="R36" s="513"/>
      <c r="S36" s="513"/>
    </row>
    <row r="37" spans="2:19" ht="15.75">
      <c r="B37" s="96"/>
      <c r="C37" s="207"/>
      <c r="D37" s="1107"/>
      <c r="E37" s="1107"/>
      <c r="F37" s="1106"/>
      <c r="G37" s="1107"/>
      <c r="H37" s="1106"/>
      <c r="I37" s="1106"/>
      <c r="K37" s="64"/>
      <c r="P37" s="513"/>
      <c r="R37" s="513"/>
      <c r="S37" s="513"/>
    </row>
    <row r="38" spans="2:19" ht="15.75">
      <c r="B38" s="96"/>
      <c r="C38" s="1105"/>
      <c r="D38" s="1106"/>
      <c r="E38" s="1106"/>
      <c r="F38" s="1106"/>
      <c r="G38" s="1106"/>
      <c r="H38" s="1106"/>
      <c r="I38" s="207"/>
      <c r="K38" s="64"/>
      <c r="P38" s="513"/>
      <c r="R38" s="513"/>
      <c r="S38" s="513"/>
    </row>
    <row r="39" spans="2:19" ht="15.75">
      <c r="B39" s="96"/>
      <c r="C39" s="1105"/>
      <c r="D39" s="1106"/>
      <c r="E39" s="1106"/>
      <c r="F39" s="1106"/>
      <c r="G39" s="1106"/>
      <c r="H39" s="1106"/>
      <c r="I39" s="1106"/>
      <c r="K39" s="64"/>
      <c r="P39" s="513"/>
      <c r="R39" s="513"/>
      <c r="S39" s="513"/>
    </row>
    <row r="40" spans="2:19" ht="15.75">
      <c r="B40" s="96"/>
      <c r="C40" s="1105"/>
      <c r="D40" s="1107"/>
      <c r="E40" s="1106"/>
      <c r="F40" s="1106"/>
      <c r="G40" s="1106"/>
      <c r="H40" s="1106"/>
      <c r="I40" s="1106"/>
      <c r="K40" s="64"/>
      <c r="P40" s="513"/>
      <c r="R40" s="513"/>
      <c r="S40" s="513"/>
    </row>
    <row r="41" spans="2:19" ht="15.75">
      <c r="B41" s="96"/>
      <c r="C41" s="1105"/>
      <c r="D41" s="1106"/>
      <c r="E41" s="1106"/>
      <c r="F41" s="1106"/>
      <c r="G41" s="1106"/>
      <c r="H41" s="1106"/>
      <c r="I41" s="1106"/>
      <c r="K41" s="64"/>
      <c r="P41" s="513"/>
      <c r="R41" s="513"/>
      <c r="S41" s="513"/>
    </row>
    <row r="42" spans="2:19" ht="15.75">
      <c r="B42" s="96"/>
      <c r="C42" s="1105"/>
      <c r="D42" s="1106"/>
      <c r="E42" s="1106"/>
      <c r="F42" s="1106"/>
      <c r="G42" s="1106"/>
      <c r="H42" s="1106"/>
      <c r="I42" s="1106"/>
      <c r="K42" s="64"/>
      <c r="P42" s="513"/>
      <c r="R42" s="513"/>
      <c r="S42" s="513"/>
    </row>
    <row r="43" spans="2:19" ht="15.75">
      <c r="B43" s="96"/>
      <c r="C43" s="954"/>
      <c r="D43" s="182"/>
      <c r="E43" s="182"/>
      <c r="F43" s="182"/>
      <c r="G43" s="182"/>
      <c r="H43" s="182"/>
      <c r="I43" s="182"/>
      <c r="K43" s="64"/>
      <c r="P43" s="513"/>
      <c r="R43" s="513"/>
      <c r="S43" s="513"/>
    </row>
    <row r="44" spans="2:19">
      <c r="B44" s="96"/>
      <c r="C44" s="182"/>
      <c r="D44" s="182"/>
      <c r="E44" s="182"/>
      <c r="F44" s="182"/>
      <c r="G44" s="182"/>
      <c r="H44" s="182"/>
      <c r="I44" s="182"/>
      <c r="K44" s="64"/>
      <c r="P44" s="513"/>
      <c r="R44" s="513"/>
      <c r="S44" s="513"/>
    </row>
    <row r="45" spans="2:19" ht="15.75">
      <c r="B45" s="96"/>
      <c r="C45" s="198"/>
      <c r="D45" s="182"/>
      <c r="E45" s="182"/>
      <c r="F45" s="182"/>
      <c r="G45" s="182"/>
      <c r="H45" s="182"/>
      <c r="I45" s="182"/>
      <c r="K45" s="64"/>
      <c r="P45" s="513"/>
      <c r="R45" s="513"/>
      <c r="S45" s="513"/>
    </row>
    <row r="46" spans="2:19">
      <c r="B46" s="96"/>
      <c r="C46" s="182"/>
      <c r="D46" s="182"/>
      <c r="E46" s="182"/>
      <c r="F46" s="182"/>
      <c r="G46" s="182"/>
      <c r="H46" s="182"/>
      <c r="I46" s="182"/>
      <c r="K46" s="64"/>
      <c r="P46" s="513"/>
      <c r="R46" s="513"/>
      <c r="S46" s="513"/>
    </row>
    <row r="47" spans="2:19" ht="15.75">
      <c r="B47" s="96"/>
      <c r="C47" s="954"/>
      <c r="D47" s="954"/>
      <c r="E47" s="182"/>
      <c r="F47" s="182"/>
      <c r="G47" s="182"/>
      <c r="H47" s="182"/>
      <c r="I47" s="182"/>
      <c r="K47" s="64"/>
      <c r="P47" s="513"/>
      <c r="R47" s="513"/>
      <c r="S47" s="513"/>
    </row>
    <row r="48" spans="2:19" ht="15.75">
      <c r="B48" s="96"/>
      <c r="C48" s="954"/>
      <c r="D48" s="182"/>
      <c r="E48" s="182"/>
      <c r="F48" s="182"/>
      <c r="G48" s="182"/>
      <c r="H48" s="182"/>
      <c r="I48" s="182"/>
      <c r="K48" s="64"/>
      <c r="P48" s="513"/>
      <c r="R48" s="513"/>
      <c r="S48" s="513"/>
    </row>
    <row r="49" spans="2:19" ht="15.75">
      <c r="B49" s="96"/>
      <c r="C49" s="1081"/>
      <c r="D49" s="182"/>
      <c r="E49" s="182"/>
      <c r="F49" s="182"/>
      <c r="G49" s="182"/>
      <c r="H49" s="182"/>
      <c r="I49" s="182"/>
      <c r="K49" s="64"/>
      <c r="P49" s="513"/>
      <c r="R49" s="513"/>
      <c r="S49" s="513"/>
    </row>
    <row r="50" spans="2:19" ht="15.75">
      <c r="B50" s="954"/>
      <c r="C50" s="202"/>
      <c r="D50" s="182"/>
      <c r="E50" s="182"/>
      <c r="F50" s="182"/>
      <c r="G50" s="182"/>
      <c r="H50" s="182"/>
      <c r="I50" s="182"/>
      <c r="K50" s="64"/>
      <c r="P50" s="513"/>
      <c r="R50" s="513"/>
      <c r="S50" s="513"/>
    </row>
    <row r="51" spans="2:19" ht="15.75">
      <c r="B51" s="954"/>
      <c r="C51" s="202"/>
      <c r="D51" s="182"/>
      <c r="E51" s="182"/>
      <c r="F51" s="182"/>
      <c r="G51" s="182"/>
      <c r="H51" s="182"/>
      <c r="I51" s="182"/>
      <c r="K51" s="64"/>
      <c r="P51" s="513"/>
      <c r="R51" s="513"/>
      <c r="S51" s="513"/>
    </row>
    <row r="52" spans="2:19" ht="15.75">
      <c r="B52" s="954"/>
      <c r="C52" s="202"/>
      <c r="D52" s="182"/>
      <c r="E52" s="182"/>
      <c r="F52" s="182"/>
      <c r="G52" s="182"/>
      <c r="H52" s="182"/>
      <c r="I52" s="182"/>
      <c r="K52" s="64"/>
      <c r="P52" s="513"/>
      <c r="R52" s="513"/>
      <c r="S52" s="513"/>
    </row>
    <row r="53" spans="2:19" ht="15.75">
      <c r="B53" s="96"/>
      <c r="C53" s="202"/>
      <c r="D53" s="182"/>
      <c r="E53" s="182"/>
      <c r="F53" s="182"/>
      <c r="G53" s="182"/>
      <c r="H53" s="182"/>
      <c r="I53" s="182"/>
      <c r="K53" s="64"/>
      <c r="P53" s="513"/>
      <c r="R53" s="513"/>
      <c r="S53" s="513"/>
    </row>
    <row r="54" spans="2:19" ht="15.75">
      <c r="B54" s="954"/>
      <c r="C54" s="202"/>
      <c r="D54" s="182"/>
      <c r="E54" s="182"/>
      <c r="F54" s="182"/>
      <c r="G54" s="182"/>
      <c r="H54" s="182"/>
      <c r="I54" s="182"/>
      <c r="K54" s="64"/>
      <c r="P54" s="513"/>
      <c r="R54" s="513"/>
      <c r="S54" s="513"/>
    </row>
    <row r="55" spans="2:19" ht="15.75">
      <c r="B55" s="954"/>
      <c r="C55" s="202"/>
      <c r="D55" s="182"/>
      <c r="E55" s="182"/>
      <c r="F55" s="182"/>
      <c r="G55" s="182"/>
      <c r="H55" s="182"/>
      <c r="I55" s="182"/>
      <c r="K55" s="64"/>
      <c r="P55" s="513"/>
      <c r="R55" s="513"/>
      <c r="S55" s="513"/>
    </row>
    <row r="56" spans="2:19" ht="15.75">
      <c r="B56" s="96"/>
      <c r="C56" s="202"/>
      <c r="D56" s="182"/>
      <c r="E56" s="182"/>
      <c r="F56" s="182"/>
      <c r="G56" s="182"/>
      <c r="H56" s="182"/>
      <c r="I56" s="182"/>
      <c r="K56" s="64"/>
      <c r="P56" s="513"/>
      <c r="R56" s="513"/>
      <c r="S56" s="513"/>
    </row>
    <row r="57" spans="2:19" ht="15.75">
      <c r="B57" s="954"/>
      <c r="C57" s="202"/>
      <c r="D57" s="182"/>
      <c r="E57" s="182"/>
      <c r="F57" s="182"/>
      <c r="G57" s="182"/>
      <c r="H57" s="182"/>
      <c r="I57" s="182"/>
      <c r="K57" s="64"/>
      <c r="P57" s="513"/>
      <c r="R57" s="513"/>
      <c r="S57" s="513"/>
    </row>
    <row r="58" spans="2:19" ht="15.75">
      <c r="B58" s="954"/>
      <c r="C58" s="202"/>
      <c r="D58" s="182"/>
      <c r="E58" s="182"/>
      <c r="F58" s="182"/>
      <c r="G58" s="182"/>
      <c r="H58" s="182"/>
      <c r="I58" s="182"/>
      <c r="K58" s="64"/>
      <c r="P58" s="513"/>
      <c r="R58" s="513"/>
      <c r="S58" s="513"/>
    </row>
    <row r="59" spans="2:19" ht="15.75">
      <c r="B59" s="954"/>
      <c r="C59" s="202"/>
      <c r="D59" s="182"/>
      <c r="E59" s="182"/>
      <c r="F59" s="182"/>
      <c r="G59" s="182"/>
      <c r="H59" s="182"/>
      <c r="I59" s="182"/>
      <c r="K59" s="64"/>
      <c r="P59" s="513"/>
      <c r="R59" s="513"/>
      <c r="S59" s="513"/>
    </row>
    <row r="60" spans="2:19" ht="15.75">
      <c r="B60" s="96"/>
      <c r="C60" s="202"/>
      <c r="D60" s="182"/>
      <c r="E60" s="182"/>
      <c r="F60" s="182"/>
      <c r="G60" s="182"/>
      <c r="H60" s="182"/>
      <c r="I60" s="182"/>
      <c r="K60" s="64"/>
      <c r="P60" s="513"/>
      <c r="R60" s="513"/>
      <c r="S60" s="513"/>
    </row>
    <row r="61" spans="2:19" ht="15.75">
      <c r="B61" s="954"/>
      <c r="C61" s="202"/>
      <c r="D61" s="182"/>
      <c r="E61" s="182"/>
      <c r="F61" s="182"/>
      <c r="G61" s="182"/>
      <c r="H61" s="182"/>
      <c r="I61" s="182"/>
      <c r="K61" s="64"/>
      <c r="P61" s="513"/>
      <c r="R61" s="513"/>
      <c r="S61" s="513"/>
    </row>
    <row r="62" spans="2:19" ht="15.75">
      <c r="B62" s="954"/>
      <c r="C62" s="202"/>
      <c r="D62" s="182"/>
      <c r="E62" s="182"/>
      <c r="F62" s="182"/>
      <c r="G62" s="182"/>
      <c r="H62" s="182"/>
      <c r="I62" s="182"/>
      <c r="K62" s="64"/>
      <c r="P62" s="513"/>
      <c r="R62" s="513"/>
      <c r="S62" s="513"/>
    </row>
    <row r="63" spans="2:19" ht="15.75">
      <c r="B63" s="954"/>
      <c r="C63" s="202"/>
      <c r="D63" s="182"/>
      <c r="E63" s="182"/>
      <c r="F63" s="182"/>
      <c r="G63" s="182"/>
      <c r="H63" s="182"/>
      <c r="I63" s="182"/>
      <c r="K63" s="64"/>
      <c r="P63" s="513"/>
      <c r="R63" s="513"/>
      <c r="S63" s="513"/>
    </row>
    <row r="64" spans="2:19" ht="15.75">
      <c r="B64" s="96"/>
      <c r="C64" s="202"/>
      <c r="D64" s="182"/>
      <c r="E64" s="182"/>
      <c r="F64" s="182"/>
      <c r="G64" s="182"/>
      <c r="H64" s="182"/>
      <c r="I64" s="182"/>
      <c r="K64" s="64"/>
      <c r="P64" s="513"/>
      <c r="R64" s="513"/>
      <c r="S64" s="513"/>
    </row>
    <row r="65" spans="2:19" ht="15.75">
      <c r="B65" s="96"/>
      <c r="C65" s="202"/>
      <c r="D65" s="182"/>
      <c r="E65" s="954"/>
      <c r="F65" s="182"/>
      <c r="G65" s="182"/>
      <c r="H65" s="182"/>
      <c r="I65" s="182"/>
      <c r="K65" s="64"/>
      <c r="P65" s="513"/>
      <c r="R65" s="513"/>
      <c r="S65" s="513"/>
    </row>
    <row r="66" spans="2:19">
      <c r="B66" s="96"/>
      <c r="C66" s="182"/>
      <c r="D66" s="182"/>
      <c r="E66" s="182"/>
      <c r="F66" s="182"/>
      <c r="G66" s="182"/>
      <c r="H66" s="182"/>
      <c r="I66" s="182"/>
      <c r="K66" s="64"/>
      <c r="P66" s="513"/>
      <c r="R66" s="513"/>
      <c r="S66" s="513"/>
    </row>
    <row r="67" spans="2:19">
      <c r="B67" s="210"/>
      <c r="C67" s="182"/>
      <c r="D67" s="182"/>
      <c r="E67" s="182"/>
      <c r="F67" s="182"/>
      <c r="G67" s="182"/>
      <c r="H67" s="182"/>
      <c r="I67" s="195"/>
      <c r="K67" s="64"/>
      <c r="P67" s="513"/>
      <c r="R67" s="513"/>
      <c r="S67" s="513"/>
    </row>
    <row r="68" spans="2:19">
      <c r="B68" s="210"/>
      <c r="C68" s="182"/>
      <c r="D68" s="182"/>
      <c r="E68" s="182"/>
      <c r="F68" s="182"/>
      <c r="G68" s="182"/>
      <c r="H68" s="182"/>
      <c r="I68" s="195"/>
      <c r="K68" s="64"/>
      <c r="P68" s="513"/>
      <c r="R68" s="513"/>
      <c r="S68" s="513"/>
    </row>
    <row r="69" spans="2:19">
      <c r="B69" s="210"/>
      <c r="C69" s="182"/>
      <c r="D69" s="182"/>
      <c r="E69" s="182"/>
      <c r="F69" s="182"/>
      <c r="G69" s="182"/>
      <c r="H69" s="182"/>
      <c r="I69" s="195"/>
      <c r="K69" s="64"/>
      <c r="P69" s="513"/>
      <c r="R69" s="513"/>
      <c r="S69" s="513"/>
    </row>
    <row r="70" spans="2:19" ht="15.75" thickBot="1">
      <c r="B70" s="1108"/>
      <c r="C70" s="205"/>
      <c r="D70" s="205"/>
      <c r="E70" s="205"/>
      <c r="F70" s="205"/>
      <c r="G70" s="205"/>
      <c r="H70" s="205"/>
      <c r="I70" s="206"/>
      <c r="K70" s="64"/>
      <c r="P70" s="513"/>
      <c r="R70" s="513"/>
      <c r="S70" s="513"/>
    </row>
  </sheetData>
  <customSheetViews>
    <customSheetView guid="{5D90FF31-AD5C-4A69-A320-8978B095DFD4}" scale="96" topLeftCell="K5">
      <pane ySplit="2" topLeftCell="A17" activePane="bottomLeft" state="frozen"/>
      <selection pane="bottomLeft" activeCell="K5" sqref="A1:XFD1048576"/>
      <pageMargins left="0.7" right="0.7" top="0.75" bottom="0.75" header="0.3" footer="0.3"/>
      <pageSetup orientation="portrait" verticalDpi="0" r:id="rId1"/>
    </customSheetView>
  </customSheetViews>
  <mergeCells count="13">
    <mergeCell ref="C20:I20"/>
    <mergeCell ref="O5:P5"/>
    <mergeCell ref="C22:I22"/>
    <mergeCell ref="C24:I24"/>
    <mergeCell ref="C26:I26"/>
    <mergeCell ref="C5:I5"/>
    <mergeCell ref="C10:I10"/>
    <mergeCell ref="C12:I12"/>
    <mergeCell ref="C14:I14"/>
    <mergeCell ref="C17:I17"/>
    <mergeCell ref="C7:I7"/>
    <mergeCell ref="C8:I8"/>
    <mergeCell ref="C18:I18"/>
  </mergeCells>
  <dataValidations disablePrompts="1" count="1">
    <dataValidation operator="greaterThanOrEqual" allowBlank="1" showInputMessage="1" showErrorMessage="1" error="Entor Positive values" sqref="Q5"/>
  </dataValidations>
  <pageMargins left="0.19685039370078741" right="0" top="0.15748031496062992" bottom="0" header="0.31496062992125984" footer="0.31496062992125984"/>
  <pageSetup scale="3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General Information</vt:lpstr>
      <vt:lpstr>Form-1</vt:lpstr>
      <vt:lpstr>Sd_Form 1</vt:lpstr>
      <vt:lpstr>Tech annexure</vt:lpstr>
      <vt:lpstr>BL Daig</vt:lpstr>
      <vt:lpstr>NF summary</vt:lpstr>
      <vt:lpstr>Prod_energy_best monthly</vt:lpstr>
      <vt:lpstr>NF_Low cap </vt:lpstr>
      <vt:lpstr>NF_cold start</vt:lpstr>
      <vt:lpstr>NF_Naphtha</vt:lpstr>
      <vt:lpstr>NF_catalyst red</vt:lpstr>
      <vt:lpstr>NF_coal</vt:lpstr>
      <vt:lpstr>Sheet1</vt:lpstr>
      <vt:lpstr>_Toc399007369</vt:lpstr>
      <vt:lpstr>_Toc399007373</vt:lpstr>
      <vt:lpstr>NF_coal!_Toc399007378</vt:lpstr>
      <vt:lpstr>NF_Naphtha!_Toc399007378</vt:lpstr>
      <vt:lpstr>_Toc399007383</vt:lpstr>
      <vt:lpstr>_Toc399007385</vt:lpstr>
      <vt:lpstr>'BL Daig'!Print_Area</vt:lpstr>
      <vt:lpstr>'Form-1'!Print_Area</vt:lpstr>
      <vt:lpstr>'NF_cold start'!Print_Area</vt:lpstr>
      <vt:lpstr>'Sd_Form 1'!Print_Area</vt:lpstr>
      <vt:lpstr>'Tech annexure'!Print_Area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sameer pandita</dc:creator>
  <cp:lastModifiedBy>Ravi Shankar Prajapati</cp:lastModifiedBy>
  <cp:lastPrinted>2016-02-25T05:01:15Z</cp:lastPrinted>
  <dcterms:created xsi:type="dcterms:W3CDTF">2014-10-27T05:50:47Z</dcterms:created>
  <dcterms:modified xsi:type="dcterms:W3CDTF">2018-06-18T11:49:47Z</dcterms:modified>
</cp:coreProperties>
</file>